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940" windowHeight="6555" firstSheet="8" activeTab="13"/>
  </bookViews>
  <sheets>
    <sheet name="1.kolo" sheetId="1" r:id="rId1"/>
    <sheet name="2.Kolo" sheetId="2" r:id="rId2"/>
    <sheet name="3.Kolo" sheetId="3" r:id="rId3"/>
    <sheet name="4.kolo" sheetId="4" r:id="rId4"/>
    <sheet name="Kraj.přebor" sheetId="5" r:id="rId5"/>
    <sheet name="5.kolo" sheetId="6" r:id="rId6"/>
    <sheet name="6.Kolo,Vánoční cena" sheetId="7" r:id="rId7"/>
    <sheet name="7.kolo " sheetId="8" r:id="rId8"/>
    <sheet name="8.kolo" sheetId="9" r:id="rId9"/>
    <sheet name="9.kolo" sheetId="10" r:id="rId10"/>
    <sheet name="10kolo" sheetId="11" r:id="rId11"/>
    <sheet name="11kolo " sheetId="12" r:id="rId12"/>
    <sheet name="finále" sheetId="13" r:id="rId13"/>
    <sheet name="VzPi průběžná" sheetId="14" r:id="rId14"/>
    <sheet name="Telefonní čísla" sheetId="15" r:id="rId15"/>
    <sheet name="propzice na ligu" sheetId="16" r:id="rId16"/>
    <sheet name="ter.kol 2010-11" sheetId="17" r:id="rId17"/>
    <sheet name="Vánoční cena" sheetId="18" r:id="rId18"/>
  </sheets>
  <definedNames>
    <definedName name="_xlnm.Print_Area" localSheetId="6">'6.Kolo,Vánoční cena'!$A$1:$O$37</definedName>
    <definedName name="Z_A4BBA4B1_28F1_441C_A6E2_3875C5AFA35F_.wvu.Cols" localSheetId="16" hidden="1">'ter.kol 2010-11'!$B:$B</definedName>
    <definedName name="Z_A4BBA4B1_28F1_441C_A6E2_3875C5AFA35F_.wvu.PrintArea" localSheetId="13" hidden="1">'VzPi průběžná'!$A$1:$U$186</definedName>
  </definedNames>
  <calcPr fullCalcOnLoad="1"/>
</workbook>
</file>

<file path=xl/sharedStrings.xml><?xml version="1.0" encoding="utf-8"?>
<sst xmlns="http://schemas.openxmlformats.org/spreadsheetml/2006/main" count="2516" uniqueCount="515">
  <si>
    <t>Český střelecký svaz  -  Sportovně střelecký klub        0 3 8 2       B í l i n a</t>
  </si>
  <si>
    <t>Datum konání:</t>
  </si>
  <si>
    <t xml:space="preserve">Místo konání :  </t>
  </si>
  <si>
    <t>Disciplíny :</t>
  </si>
  <si>
    <t>vzduchovková střelnice AVZO Bílina, Tyršova 10/3</t>
  </si>
  <si>
    <t>rok narození</t>
  </si>
  <si>
    <t>členské číslo</t>
  </si>
  <si>
    <t>místo, organizace</t>
  </si>
  <si>
    <t>pořadí</t>
  </si>
  <si>
    <t>jméno</t>
  </si>
  <si>
    <t>celkem</t>
  </si>
  <si>
    <t>jméno č.1</t>
  </si>
  <si>
    <t>jméno č.2</t>
  </si>
  <si>
    <t>jméno č.3</t>
  </si>
  <si>
    <t>výsledek č.1</t>
  </si>
  <si>
    <t>výsledek č.2</t>
  </si>
  <si>
    <t>výsledek č.3</t>
  </si>
  <si>
    <t>organizace</t>
  </si>
  <si>
    <r>
      <t xml:space="preserve">  </t>
    </r>
    <r>
      <rPr>
        <b/>
        <u val="single"/>
        <sz val="16"/>
        <rFont val="Times New Roman"/>
        <family val="1"/>
      </rPr>
      <t>V ý s l e d k o v á   l i s t i n a</t>
    </r>
  </si>
  <si>
    <t>VzPi 40 dorost a ženy</t>
  </si>
  <si>
    <t>VzPi 60 - junioři a muži</t>
  </si>
  <si>
    <t>VzPi 40 - družstva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</si>
  <si>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</si>
  <si>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</si>
  <si>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</si>
  <si>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</si>
  <si>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</si>
  <si>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</si>
  <si>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</si>
  <si>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</si>
  <si>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</si>
  <si>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</si>
  <si>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</si>
  <si>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</si>
  <si>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</si>
  <si>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</si>
  <si>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</si>
  <si>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</si>
  <si>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pol. č.1</t>
  </si>
  <si>
    <t>pol. č.2</t>
  </si>
  <si>
    <t>pol. č.3</t>
  </si>
  <si>
    <t>pol. č.4</t>
  </si>
  <si>
    <t>pol. č.5</t>
  </si>
  <si>
    <t>pol. č.6</t>
  </si>
  <si>
    <t>V.tř.</t>
  </si>
  <si>
    <t>vzduchová pistole</t>
  </si>
  <si>
    <t>Klepáček Jan</t>
  </si>
  <si>
    <t>Nosová Martina</t>
  </si>
  <si>
    <t>Nos Pavel</t>
  </si>
  <si>
    <t>Hlaváček Zdeněk</t>
  </si>
  <si>
    <t>Hlaváček Roman</t>
  </si>
  <si>
    <t>Chvojka Jiří</t>
  </si>
  <si>
    <t>Teplice</t>
  </si>
  <si>
    <t>Duchcov</t>
  </si>
  <si>
    <t>Dočkal Jan</t>
  </si>
  <si>
    <t>Louny</t>
  </si>
  <si>
    <t>Itterheim Zdeněk</t>
  </si>
  <si>
    <t>Krystyník Miroslav</t>
  </si>
  <si>
    <t>Kučera Pavel</t>
  </si>
  <si>
    <t>Hejna Rudolf</t>
  </si>
  <si>
    <t>Meziboří</t>
  </si>
  <si>
    <t>Krystyníková Hana</t>
  </si>
  <si>
    <t>Sokolov</t>
  </si>
  <si>
    <t>Boletice</t>
  </si>
  <si>
    <t>místo organizace</t>
  </si>
  <si>
    <t>Součet             5+finále</t>
  </si>
  <si>
    <t>Konečné pořadí</t>
  </si>
  <si>
    <t>Absolutní součet</t>
  </si>
  <si>
    <t>Průměrný výsledek</t>
  </si>
  <si>
    <t>Průměr na 1 ránu</t>
  </si>
  <si>
    <t>35086/0657</t>
  </si>
  <si>
    <t>01794/0088</t>
  </si>
  <si>
    <t>Ústí n/L</t>
  </si>
  <si>
    <t>29592/0715</t>
  </si>
  <si>
    <t>MTS Bílina</t>
  </si>
  <si>
    <t>02459/0258</t>
  </si>
  <si>
    <t>31241/0523</t>
  </si>
  <si>
    <t>17785/0523</t>
  </si>
  <si>
    <t>06943/0523</t>
  </si>
  <si>
    <t>01129/0019</t>
  </si>
  <si>
    <t>Chomutov</t>
  </si>
  <si>
    <t>02539/0405</t>
  </si>
  <si>
    <t>17071/0657</t>
  </si>
  <si>
    <t>04052/0294</t>
  </si>
  <si>
    <t>N.čl./0523</t>
  </si>
  <si>
    <t>32462/0523</t>
  </si>
  <si>
    <t>název</t>
  </si>
  <si>
    <t>0657</t>
  </si>
  <si>
    <t>0523</t>
  </si>
  <si>
    <t>SSK Meziboří</t>
  </si>
  <si>
    <t>0294</t>
  </si>
  <si>
    <t>SSK Sokolov</t>
  </si>
  <si>
    <t>0258</t>
  </si>
  <si>
    <t>číslo organizace</t>
  </si>
  <si>
    <t xml:space="preserve">Miroslav Sehnoutka </t>
  </si>
  <si>
    <t>A 129</t>
  </si>
  <si>
    <t>Tokár Jakub</t>
  </si>
  <si>
    <t>0523-Duchcov</t>
  </si>
  <si>
    <t>0420-Teplice</t>
  </si>
  <si>
    <t>Litavcová Pavla</t>
  </si>
  <si>
    <t>nástřel na 40 ran</t>
  </si>
  <si>
    <r>
      <t xml:space="preserve">  </t>
    </r>
    <r>
      <rPr>
        <b/>
        <u val="single"/>
        <sz val="16"/>
        <rFont val="Arial Narrow"/>
        <family val="2"/>
      </rPr>
      <t>V ý s l e d k o v á   l i s t i n a</t>
    </r>
  </si>
  <si>
    <t>Nový člen</t>
  </si>
  <si>
    <t>Filipovský Jiří ml</t>
  </si>
  <si>
    <t>Družstva</t>
  </si>
  <si>
    <t>VzPi 60</t>
  </si>
  <si>
    <t>VzPi 40</t>
  </si>
  <si>
    <t>Kohlíček Petr</t>
  </si>
  <si>
    <t>Šlechta Pavel</t>
  </si>
  <si>
    <t>Počet odstřlených kol</t>
  </si>
  <si>
    <t>Rozdíl mezi závodníky</t>
  </si>
  <si>
    <t>Isák Zdeněk</t>
  </si>
  <si>
    <t>SSK Duchcov A</t>
  </si>
  <si>
    <t>SSK Duchcov B</t>
  </si>
  <si>
    <t>SKP Sever Teplice</t>
  </si>
  <si>
    <t xml:space="preserve">1.kolo     </t>
  </si>
  <si>
    <t xml:space="preserve">2.kolo          </t>
  </si>
  <si>
    <t xml:space="preserve">4.kolo             </t>
  </si>
  <si>
    <t xml:space="preserve">5.kolo         </t>
  </si>
  <si>
    <t xml:space="preserve">7.kolo               </t>
  </si>
  <si>
    <t xml:space="preserve">8.kolo            </t>
  </si>
  <si>
    <t xml:space="preserve">9.kolo            </t>
  </si>
  <si>
    <t xml:space="preserve">10.kolo         </t>
  </si>
  <si>
    <t xml:space="preserve">11.kolo            </t>
  </si>
  <si>
    <t xml:space="preserve">12.kolo            </t>
  </si>
  <si>
    <t xml:space="preserve">finále               </t>
  </si>
  <si>
    <t xml:space="preserve">3.kolo         </t>
  </si>
  <si>
    <t>Klepáček Josef</t>
  </si>
  <si>
    <t>0259-Sokolov</t>
  </si>
  <si>
    <t>Bernáth Milan</t>
  </si>
  <si>
    <t>Sever Teplice</t>
  </si>
  <si>
    <t>Šlechtová Martina</t>
  </si>
  <si>
    <t>Kočárek Karel</t>
  </si>
  <si>
    <t>Arnold Ctibor</t>
  </si>
  <si>
    <t>Krása Jaroslav</t>
  </si>
  <si>
    <t>04061</t>
  </si>
  <si>
    <t>0543</t>
  </si>
  <si>
    <t>Termer Radek</t>
  </si>
  <si>
    <t>Aulická Kateřina</t>
  </si>
  <si>
    <t>Kousal Vladimír</t>
  </si>
  <si>
    <t>Arnoldová Lucie</t>
  </si>
  <si>
    <t>Cimmermann Jaroslav</t>
  </si>
  <si>
    <t>36948/0543</t>
  </si>
  <si>
    <t>11835/0630</t>
  </si>
  <si>
    <t>Kadaň</t>
  </si>
  <si>
    <t>SSK LounyA</t>
  </si>
  <si>
    <t>SSK LounyB</t>
  </si>
  <si>
    <t>0544</t>
  </si>
  <si>
    <t>Sehnoutka Václav</t>
  </si>
  <si>
    <t>N.člen</t>
  </si>
  <si>
    <t>0382/Bílina</t>
  </si>
  <si>
    <t>AVZO</t>
  </si>
  <si>
    <t>0294-Meziboří</t>
  </si>
  <si>
    <t>Gros Alexandr</t>
  </si>
  <si>
    <t>02785</t>
  </si>
  <si>
    <t>0375-Skp-ˇustí</t>
  </si>
  <si>
    <t>Neubauerová Jana</t>
  </si>
  <si>
    <r>
      <t xml:space="preserve">  </t>
    </r>
    <r>
      <rPr>
        <b/>
        <u val="single"/>
        <sz val="18"/>
        <rFont val="Times New Roman"/>
        <family val="1"/>
      </rPr>
      <t>V ý s l e d k o v á   l i s t i n a</t>
    </r>
  </si>
  <si>
    <t>Richter Martin</t>
  </si>
  <si>
    <t>Keller Rudolf</t>
  </si>
  <si>
    <t>17.</t>
  </si>
  <si>
    <t>18.</t>
  </si>
  <si>
    <t>19.</t>
  </si>
  <si>
    <t>0587-Unitop LN</t>
  </si>
  <si>
    <t>Jindrová Hana</t>
  </si>
  <si>
    <t xml:space="preserve"> 0587-Unitop LN</t>
  </si>
  <si>
    <t>34463</t>
  </si>
  <si>
    <t>Straník Květoslav</t>
  </si>
  <si>
    <t xml:space="preserve">Brabec Karel </t>
  </si>
  <si>
    <t>Brabcová  Jana</t>
  </si>
  <si>
    <t>Unitop Louny</t>
  </si>
  <si>
    <t>Unitop LN</t>
  </si>
  <si>
    <t>Lindnerová Pavla</t>
  </si>
  <si>
    <t>Synek Pavel</t>
  </si>
  <si>
    <t>32505/0420</t>
  </si>
  <si>
    <t>Lacina Tomáš</t>
  </si>
  <si>
    <t>AvZo</t>
  </si>
  <si>
    <t>Šímová Veronika</t>
  </si>
  <si>
    <t>0587-Unitop Ln</t>
  </si>
  <si>
    <t>Vřeská Andrea</t>
  </si>
  <si>
    <t>0418-Str/N.Nisou</t>
  </si>
  <si>
    <t>20.</t>
  </si>
  <si>
    <t>Srkalová</t>
  </si>
  <si>
    <t>Český střelecký svaz-Sportovně střelecký Klub 0382 Bílina</t>
  </si>
  <si>
    <t>Propozice</t>
  </si>
  <si>
    <t>Pořadatel:</t>
  </si>
  <si>
    <t>Sportovně střelecký klub 0382 Bílina a ZO AVZO 50020</t>
  </si>
  <si>
    <t>Podmínky soutěže</t>
  </si>
  <si>
    <t>Soutěže se mohou zůčastnit členové ČSS</t>
  </si>
  <si>
    <t>Místo konání</t>
  </si>
  <si>
    <t>Vzduchovková střelnice Bílina,Tylova 10/3</t>
  </si>
  <si>
    <t>AVZO s platným průkazem své organizace</t>
  </si>
  <si>
    <t>VzPu-30,40,60 Sobota</t>
  </si>
  <si>
    <t>Doklady</t>
  </si>
  <si>
    <t>Platný členský průkaz organizace za kterou startuje</t>
  </si>
  <si>
    <t>VzPi-40,60Neděle</t>
  </si>
  <si>
    <t>Zbraně a střelivo:</t>
  </si>
  <si>
    <t>vlastní</t>
  </si>
  <si>
    <t xml:space="preserve">Druh Soutěže </t>
  </si>
  <si>
    <t>Zařazena do sportovního kalendáře ČSS a v kategorii II</t>
  </si>
  <si>
    <t>Protesty:</t>
  </si>
  <si>
    <t xml:space="preserve">do 20minut po zveřejnění výsledků s vkladem </t>
  </si>
  <si>
    <t>100kč do rukou HL-rozhodčího</t>
  </si>
  <si>
    <t>Discipíny</t>
  </si>
  <si>
    <t>VzPu 30 L</t>
  </si>
  <si>
    <t>časový rozvrh:</t>
  </si>
  <si>
    <t>Mládež do 12ti let</t>
  </si>
  <si>
    <t>Začátek I.směny v 8.30hodin</t>
  </si>
  <si>
    <t>Mládež do 14ti let</t>
  </si>
  <si>
    <t>Pojistné:</t>
  </si>
  <si>
    <t xml:space="preserve">Pořadatelé jsou pojištěni z odpovědnosti za škodu </t>
  </si>
  <si>
    <r>
      <t>Vzpu 40, VzPi 40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dorost a ženy</t>
    </r>
  </si>
  <si>
    <t>pojistkou u České Kooperativy č-85-5990011818-6</t>
  </si>
  <si>
    <r>
      <t xml:space="preserve">VzPu 60, VzPi 60 </t>
    </r>
    <r>
      <rPr>
        <sz val="9"/>
        <rFont val="Arial"/>
        <family val="2"/>
      </rPr>
      <t xml:space="preserve">Junioři a muži </t>
    </r>
  </si>
  <si>
    <t>Technické ustanovení</t>
  </si>
  <si>
    <t>: střílí se po 2 ranách do soutěžního terče</t>
  </si>
  <si>
    <t>Startovné</t>
  </si>
  <si>
    <t xml:space="preserve">VzPu 30l </t>
  </si>
  <si>
    <t xml:space="preserve">.Finálový závod ze vzduchových pušek se střílí po 1 ráně i </t>
  </si>
  <si>
    <t>mládež</t>
  </si>
  <si>
    <t xml:space="preserve"> Družstvo             20,-Kč</t>
  </si>
  <si>
    <t>Hospodářské ustanovení</t>
  </si>
  <si>
    <t>Hodnocení</t>
  </si>
  <si>
    <t>Z celkových 12 kol se OSL se započítává 5 nejlepších výsledků</t>
  </si>
  <si>
    <t>Všechny náklady spojené s účastí v OSL si hradí</t>
  </si>
  <si>
    <t>Plus povinné finálové kolo jednotlivcům i družstvům</t>
  </si>
  <si>
    <t>účastníci sami,nebo jejich vysílající organizace.V klubové</t>
  </si>
  <si>
    <t>Hodnocena budou jen ta družstva,která zaplatí nejméně 6 kol</t>
  </si>
  <si>
    <t xml:space="preserve"> místnosti </t>
  </si>
  <si>
    <t xml:space="preserve">je zajištěno drobné občerstvení </t>
  </si>
  <si>
    <t xml:space="preserve">Tři nejlepší v každé disciplině a kategorii,obdrží diplom </t>
  </si>
  <si>
    <t>v omezeném rozsahu,</t>
  </si>
  <si>
    <t>a cenu startovného.</t>
  </si>
  <si>
    <t>které si účastníci mohou zakoupit.</t>
  </si>
  <si>
    <t>Ředitel soutěže</t>
  </si>
  <si>
    <t>Sehnoutka Jaromír náčelník SSK Bílina</t>
  </si>
  <si>
    <t>Zdravotnické zabezpečení</t>
  </si>
  <si>
    <t>Hlavní rozhodčí</t>
  </si>
  <si>
    <r>
      <t xml:space="preserve">Vladislav Krejčí </t>
    </r>
    <r>
      <rPr>
        <b/>
        <sz val="10"/>
        <rFont val="Arial"/>
        <family val="2"/>
      </rPr>
      <t>I.tř.</t>
    </r>
  </si>
  <si>
    <t>Střelnice je vybavena lékárničkou.Pohotovostní Služba,je v</t>
  </si>
  <si>
    <r>
      <t xml:space="preserve">Sehnotka Miroslav </t>
    </r>
    <r>
      <rPr>
        <b/>
        <sz val="10"/>
        <rFont val="Arial"/>
        <family val="2"/>
      </rPr>
      <t>I.tř</t>
    </r>
  </si>
  <si>
    <t>Hornické nemocnici s poliklinikou v Bílině,Pažské ulici</t>
  </si>
  <si>
    <t>Předseda HK.:</t>
  </si>
  <si>
    <t>p.Miroslav Sehnoutka A-130</t>
  </si>
  <si>
    <t>Zvláštní ustanovení</t>
  </si>
  <si>
    <t>Sbor rohodčích</t>
  </si>
  <si>
    <t xml:space="preserve">Při veškerém pobytu v prostorách klubovny a </t>
  </si>
  <si>
    <t>Družstva která si nezaplatí 20,Kč startovné,budou napsaný na</t>
  </si>
  <si>
    <t>nebo čistou střeleckou obuv.Bez tohoto nebudou</t>
  </si>
  <si>
    <t>výsledkové listině,ale nebudou na konci soutěže odměněni!!!</t>
  </si>
  <si>
    <t xml:space="preserve"> do prostoru klubovny</t>
  </si>
  <si>
    <t xml:space="preserve"> střelnice vpuštěni.Toto se týká  </t>
  </si>
  <si>
    <t>i návštěvníků a rodinných příslušníků</t>
  </si>
  <si>
    <t>V celém prostoru střelnice je zákaz kouření!!!</t>
  </si>
  <si>
    <t xml:space="preserve">Kapacita střelnice </t>
  </si>
  <si>
    <t xml:space="preserve">10 stanovišť s elektricky ovládanými lapači a stojany </t>
  </si>
  <si>
    <t>na dalekohled</t>
  </si>
  <si>
    <t xml:space="preserve">Za AVZO Bílina </t>
  </si>
  <si>
    <t>Na Vaší účast se těší pořadatelé</t>
  </si>
  <si>
    <t>Sehnoutka Miroslav</t>
  </si>
  <si>
    <r>
      <t xml:space="preserve"> </t>
    </r>
    <r>
      <rPr>
        <b/>
        <i/>
        <u val="single"/>
        <sz val="16"/>
        <rFont val="Arial"/>
        <family val="2"/>
      </rPr>
      <t xml:space="preserve">ZA SSK BÍLINA  </t>
    </r>
    <r>
      <rPr>
        <b/>
        <i/>
        <sz val="16"/>
        <rFont val="Arial"/>
        <family val="2"/>
      </rPr>
      <t xml:space="preserve">          </t>
    </r>
    <r>
      <rPr>
        <b/>
        <i/>
        <u val="single"/>
        <sz val="16"/>
        <rFont val="Arial"/>
        <family val="2"/>
      </rPr>
      <t>Sehnoutka jaromír</t>
    </r>
  </si>
  <si>
    <t>Kontaktní adresa je Avzo.strelectvibilina@seznam.cz</t>
  </si>
  <si>
    <t>Tel:776592596</t>
  </si>
  <si>
    <t>Svoboda David</t>
  </si>
  <si>
    <t>SSK Manuš. 0200</t>
  </si>
  <si>
    <t>III</t>
  </si>
  <si>
    <t>II</t>
  </si>
  <si>
    <t>10640</t>
  </si>
  <si>
    <t>Rambousek Miroslav</t>
  </si>
  <si>
    <t>Polák Miroslav</t>
  </si>
  <si>
    <t>0715-MTS Bílina</t>
  </si>
  <si>
    <t>Zelnerová Kamila</t>
  </si>
  <si>
    <t>Bílina</t>
  </si>
  <si>
    <t>SSk Teplice</t>
  </si>
  <si>
    <t>0420</t>
  </si>
  <si>
    <t>0382</t>
  </si>
  <si>
    <t xml:space="preserve">SSK Bílina </t>
  </si>
  <si>
    <t>06609/0384</t>
  </si>
  <si>
    <t>Doly Bílina</t>
  </si>
  <si>
    <t>31673/0382</t>
  </si>
  <si>
    <t xml:space="preserve">                                      Memoriál Jiřiny Sehnoutkové</t>
  </si>
  <si>
    <t>Kožíšek Petr</t>
  </si>
  <si>
    <t>58033</t>
  </si>
  <si>
    <t>0543-Louny</t>
  </si>
  <si>
    <t>Hubáček Pavel</t>
  </si>
  <si>
    <t>32651</t>
  </si>
  <si>
    <t>10147</t>
  </si>
  <si>
    <t>0251-SSK Slaný</t>
  </si>
  <si>
    <t>Kratochvíl Milan</t>
  </si>
  <si>
    <t>kratochvilmilan@seznam.cz</t>
  </si>
  <si>
    <t xml:space="preserve">          jména závodníků</t>
  </si>
  <si>
    <t xml:space="preserve">VzPi </t>
  </si>
  <si>
    <t>Telefon</t>
  </si>
  <si>
    <t>Email.adresa</t>
  </si>
  <si>
    <t>jiri.filipovsky@volny.cz</t>
  </si>
  <si>
    <t>Holý Martin</t>
  </si>
  <si>
    <t>0405</t>
  </si>
  <si>
    <t>Karpíšek Břetislav</t>
  </si>
  <si>
    <t>10389/0405</t>
  </si>
  <si>
    <t>puskarmira.13@seznam.cz</t>
  </si>
  <si>
    <t>vaclavsehnoutka@seznam.cz</t>
  </si>
  <si>
    <t>Šareš  Roman</t>
  </si>
  <si>
    <t>10383/0405</t>
  </si>
  <si>
    <t>Žáčková Adéla</t>
  </si>
  <si>
    <t>SSK Chomutov</t>
  </si>
  <si>
    <t xml:space="preserve">Meziboří </t>
  </si>
  <si>
    <t>Duchcov-A</t>
  </si>
  <si>
    <t>Unitop-Louny</t>
  </si>
  <si>
    <t>Duchcov-B</t>
  </si>
  <si>
    <t>martina.nosova@volny.cz</t>
  </si>
  <si>
    <t>Škvaro Josef</t>
  </si>
  <si>
    <t>Gross Alexandr</t>
  </si>
  <si>
    <t>svobi.david@seznam.cz</t>
  </si>
  <si>
    <t>38424</t>
  </si>
  <si>
    <t>0311-Lež.Most</t>
  </si>
  <si>
    <t>Klepáček Josef ml</t>
  </si>
  <si>
    <t>Klepáček Josef st</t>
  </si>
  <si>
    <t>rudolf.hejna@seznam.cz</t>
  </si>
  <si>
    <t>2</t>
  </si>
  <si>
    <t xml:space="preserve">                                      Finále VzPi 60-40 ran</t>
  </si>
  <si>
    <t xml:space="preserve">24. října 2010 </t>
  </si>
  <si>
    <t>10.Října 2010</t>
  </si>
  <si>
    <t>Kola oblastní střelecké ligy ve střelbě ze vzduchových zbraní Teplicko 2010/2011</t>
  </si>
  <si>
    <t>Kola oblastní střelecké ligy ve střelbě ze vzduchových zbraní Teplicko2010/2011</t>
  </si>
  <si>
    <t>7.Listopadu 2010</t>
  </si>
  <si>
    <t>Kola oblastní střelecké ligy ve střelbě ze vzduchových zbraní Teplicko2010/11</t>
  </si>
  <si>
    <t>21.Listopadu 2010</t>
  </si>
  <si>
    <t>5.prosince 2010</t>
  </si>
  <si>
    <t>27.března 2011</t>
  </si>
  <si>
    <t>Finále oblastní střelecké ligy ve střelbě ze vzduchových zbraní Teplicko 2010/2011</t>
  </si>
  <si>
    <t>13.března 2011</t>
  </si>
  <si>
    <t>27.února 2011</t>
  </si>
  <si>
    <t>13.února 2011</t>
  </si>
  <si>
    <t>30.ledna  2011</t>
  </si>
  <si>
    <t>Viz Termínová listina kol OSL 2010-2011</t>
  </si>
  <si>
    <t>Mládež do 10let s oporou ,r 2001 a ml</t>
  </si>
  <si>
    <r>
      <t xml:space="preserve">střelnice jsou všichni povinni nosit </t>
    </r>
    <r>
      <rPr>
        <b/>
        <u val="single"/>
        <sz val="10"/>
        <color indexed="10"/>
        <rFont val="Arial"/>
        <family val="2"/>
      </rPr>
      <t>PŘEZŮVKY</t>
    </r>
  </si>
  <si>
    <t>Krejčová Ivana,Krejčí Jan,Sehnoutka Jaromír (AVZO)</t>
  </si>
  <si>
    <t>Oblastní střelecké ligy Teplicka ze vzduchových zbraní pro rok 2010-2011</t>
  </si>
  <si>
    <t xml:space="preserve">                                                                       Celková výsledková listina OSL 2010/2011 disciplíny VzPi</t>
  </si>
  <si>
    <t>A050309</t>
  </si>
  <si>
    <t>AVZO-Duchcov</t>
  </si>
  <si>
    <t>O587-Louny</t>
  </si>
  <si>
    <t>0715-SSKBílina</t>
  </si>
  <si>
    <t>Zábranský Milan</t>
  </si>
  <si>
    <t xml:space="preserve">       40,-Kč</t>
  </si>
  <si>
    <t xml:space="preserve">       VzPu 60, VzPi 60  60,-Kč</t>
  </si>
  <si>
    <t xml:space="preserve">VzPu 40,VzPi 40  50,-Kč </t>
  </si>
  <si>
    <t>0038-Ústí</t>
  </si>
  <si>
    <t>0715-Měs-Bílina</t>
  </si>
  <si>
    <t>O797</t>
  </si>
  <si>
    <t>10389-Vy.Pec</t>
  </si>
  <si>
    <t>0382-Bílina</t>
  </si>
  <si>
    <t>A050467</t>
  </si>
  <si>
    <t>AVZO-Bílina</t>
  </si>
  <si>
    <t>0657-SKP Teplice</t>
  </si>
  <si>
    <t>10389</t>
  </si>
  <si>
    <t>Vys.Pec</t>
  </si>
  <si>
    <t>I</t>
  </si>
  <si>
    <t>23672</t>
  </si>
  <si>
    <t xml:space="preserve">Filipovský Jiří </t>
  </si>
  <si>
    <t>Filipovský</t>
  </si>
  <si>
    <t>Hubáček</t>
  </si>
  <si>
    <t>Zábranský</t>
  </si>
  <si>
    <t>MTS-Bílina</t>
  </si>
  <si>
    <t>Nos</t>
  </si>
  <si>
    <t>Chvojka</t>
  </si>
  <si>
    <t>Hlaváček</t>
  </si>
  <si>
    <t>Krystyník</t>
  </si>
  <si>
    <t>Keller st</t>
  </si>
  <si>
    <t xml:space="preserve">Keller ml </t>
  </si>
  <si>
    <t xml:space="preserve">MTS- Bílina </t>
  </si>
  <si>
    <t>Cimmermann</t>
  </si>
  <si>
    <t>Kožíšek</t>
  </si>
  <si>
    <t>Sehnoutka V</t>
  </si>
  <si>
    <t>Sehnoutka M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</si>
  <si>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</si>
  <si>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</si>
  <si>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</si>
  <si>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</si>
  <si>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</si>
  <si>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</si>
  <si>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</si>
  <si>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</si>
  <si>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</si>
  <si>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</si>
  <si>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  </t>
  </si>
  <si>
    <t>Červenou barvou označený výslede u družstva=(Klub si zaplatil za družstvo)</t>
  </si>
  <si>
    <t>Fíla Tomáš</t>
  </si>
  <si>
    <t>36948</t>
  </si>
  <si>
    <t>0375-Skp-Ústí</t>
  </si>
  <si>
    <t>04052</t>
  </si>
  <si>
    <t>III.sh1</t>
  </si>
  <si>
    <t>Polách Jan</t>
  </si>
  <si>
    <t>Krystyníková</t>
  </si>
  <si>
    <t>Šlechta</t>
  </si>
  <si>
    <t>Cimermann</t>
  </si>
  <si>
    <t>Pozor změna -6 kolo a zároveň vánoční cena se puška střílí 18.prosince a pistole 19.prosince</t>
  </si>
  <si>
    <t>Je to kvůli velké ceně Děčína</t>
  </si>
  <si>
    <t>sh1III</t>
  </si>
  <si>
    <t xml:space="preserve">6.kolo Vánoční cena          </t>
  </si>
  <si>
    <t>18-prosince VzPu</t>
  </si>
  <si>
    <t>19-prosince VzPi</t>
  </si>
  <si>
    <t xml:space="preserve">       50,-Kč</t>
  </si>
  <si>
    <t xml:space="preserve">       VzPu 60, VzPi 60  70,-Kč</t>
  </si>
  <si>
    <t xml:space="preserve">VzPu 40,VzPi 40  60,-Kč </t>
  </si>
  <si>
    <t>První tři v kategorii obdrží věcnou cenu a diplom.</t>
  </si>
  <si>
    <t>Při nižší účasti jak pěti  závodníků v kategorii se tato</t>
  </si>
  <si>
    <t>kategorie slučuje s kategorii nejbližší</t>
  </si>
  <si>
    <t>Začátek I.směny v 8.00hodin</t>
  </si>
  <si>
    <t>Všechny náklady spojené s účastí si hradí</t>
  </si>
  <si>
    <r>
      <t xml:space="preserve">                                 </t>
    </r>
    <r>
      <rPr>
        <b/>
        <i/>
        <u val="single"/>
        <sz val="12"/>
        <rFont val="Rage Italic"/>
        <family val="4"/>
      </rPr>
      <t xml:space="preserve"> </t>
    </r>
    <r>
      <rPr>
        <b/>
        <i/>
        <u val="single"/>
        <sz val="16"/>
        <rFont val="Monotype Corsiva"/>
        <family val="4"/>
      </rPr>
      <t xml:space="preserve"> Vánoční cena města Bíliny 2010</t>
    </r>
  </si>
  <si>
    <t>Vondráček Daniel</t>
  </si>
  <si>
    <t>0032-Poděbrady</t>
  </si>
  <si>
    <t>OO937</t>
  </si>
  <si>
    <t>0258-Sokolov</t>
  </si>
  <si>
    <t>02459</t>
  </si>
  <si>
    <t>38395</t>
  </si>
  <si>
    <t>Duchcov A</t>
  </si>
  <si>
    <t>Duchcov B</t>
  </si>
  <si>
    <t>Vřeská</t>
  </si>
  <si>
    <t>Neubauerová</t>
  </si>
  <si>
    <t>Koubek Michal</t>
  </si>
  <si>
    <t>38220</t>
  </si>
  <si>
    <t>prezentace od 7.00hodin do 9.00hodin</t>
  </si>
  <si>
    <t>prezentace od 7.00hodin do 9.00 hodin</t>
  </si>
  <si>
    <t>0667-Kar.Vary</t>
  </si>
  <si>
    <t>I.vet</t>
  </si>
  <si>
    <t>Hlaváček R</t>
  </si>
  <si>
    <t>AVZODuchcov B</t>
  </si>
  <si>
    <t>Tel:725279624</t>
  </si>
  <si>
    <t>II.Sh1</t>
  </si>
  <si>
    <t>III.</t>
  </si>
  <si>
    <t>AVZO-Teplice</t>
  </si>
  <si>
    <t>AVZO- Slaný</t>
  </si>
  <si>
    <t>Kolman Jiří</t>
  </si>
  <si>
    <t>A050396</t>
  </si>
  <si>
    <t>33239</t>
  </si>
  <si>
    <t>A050464</t>
  </si>
  <si>
    <t>A050302</t>
  </si>
  <si>
    <t>A050271</t>
  </si>
  <si>
    <t>Brabcová Jana</t>
  </si>
  <si>
    <t>0587-Louny</t>
  </si>
  <si>
    <t>A050364</t>
  </si>
  <si>
    <t>A050270</t>
  </si>
  <si>
    <t>II.</t>
  </si>
  <si>
    <t>A050523</t>
  </si>
  <si>
    <t>A050524</t>
  </si>
  <si>
    <t>AVZO-Meziboří</t>
  </si>
  <si>
    <t>I.</t>
  </si>
  <si>
    <t>A050521</t>
  </si>
  <si>
    <t>Keler st</t>
  </si>
  <si>
    <t>Fíla</t>
  </si>
  <si>
    <t xml:space="preserve">                                       Krajský přebor AVZA</t>
  </si>
  <si>
    <t xml:space="preserve">    Sportovně střelecký klub      AVZO-50020         B í l i n a</t>
  </si>
  <si>
    <t>II.sh1</t>
  </si>
  <si>
    <t>A050272</t>
  </si>
  <si>
    <t>Hlaváček Rom</t>
  </si>
  <si>
    <t>19.Prosince 2010</t>
  </si>
  <si>
    <r>
      <t xml:space="preserve">      </t>
    </r>
    <r>
      <rPr>
        <b/>
        <i/>
        <sz val="20"/>
        <rFont val="Monotype Corsiva"/>
        <family val="4"/>
      </rPr>
      <t xml:space="preserve">    </t>
    </r>
    <r>
      <rPr>
        <i/>
        <sz val="20"/>
        <rFont val="Monotype Corsiva"/>
        <family val="4"/>
      </rPr>
      <t>Vánoční cena Bíliny</t>
    </r>
  </si>
  <si>
    <t>0200-Manušice</t>
  </si>
  <si>
    <t>Keler Rud</t>
  </si>
  <si>
    <t>II.vet</t>
  </si>
  <si>
    <t>7..</t>
  </si>
  <si>
    <t>16.ledna  2011</t>
  </si>
  <si>
    <t>Koubek</t>
  </si>
  <si>
    <t>Keller R st</t>
  </si>
  <si>
    <t>Keller R ml</t>
  </si>
  <si>
    <t>Hlaváček Z</t>
  </si>
  <si>
    <t>Oblastní střelecká liga ze vzduchových zbraní 2010-2011</t>
  </si>
  <si>
    <t>1.Kolo           9.10     VzPu 30,40,60</t>
  </si>
  <si>
    <t xml:space="preserve">                     10.10     Vzpi  40,60</t>
  </si>
  <si>
    <t>2:Kolo          23.10    VzPu 30,40,60</t>
  </si>
  <si>
    <t xml:space="preserve">                     24.10    VzPi  40,60                Memorial Jiřiny Sehnoutkové</t>
  </si>
  <si>
    <t xml:space="preserve"> </t>
  </si>
  <si>
    <t xml:space="preserve">3.Kolo          6.11     VzPu 30,40,60  </t>
  </si>
  <si>
    <t xml:space="preserve">                     7.11     VzPi  40,60</t>
  </si>
  <si>
    <t>4.Kolo          20.11     VzPu 30,40,60           Krajský přebor AVZO do 18 let</t>
  </si>
  <si>
    <t xml:space="preserve">                     21.11     VzPi  40,60                Krajský přebor AVZO do 18 let</t>
  </si>
  <si>
    <t>5.Kolo            4.12     VzPu 30, 40,60</t>
  </si>
  <si>
    <t xml:space="preserve">                       5.12     VzPi 40,60</t>
  </si>
  <si>
    <t>6.Kolo          18.12       VzPu 30,40,60        Vánoční cena Bíliny     Pozor změna</t>
  </si>
  <si>
    <t xml:space="preserve">                     19.12       VzPi 40,60            Vánoční cena Bíliny       Pozor změna</t>
  </si>
  <si>
    <t>7.Kolo          15.1       VzPu 30,40,60</t>
  </si>
  <si>
    <t xml:space="preserve">                     16.1       VzPi  40,60</t>
  </si>
  <si>
    <t>8.Kolo        29.1       VzPu 30,40,60</t>
  </si>
  <si>
    <t xml:space="preserve">                   30.1       VzPi  40,60</t>
  </si>
  <si>
    <t>9.Kolo        12.2       VzPu 30,40,60</t>
  </si>
  <si>
    <t xml:space="preserve">                   13.2       VzPi  40,60</t>
  </si>
  <si>
    <t>10.Kolo      26.2      VzPu 30,40,60</t>
  </si>
  <si>
    <t xml:space="preserve">                   27.2       VzPi  40,60</t>
  </si>
  <si>
    <t>11.Kolo      12.3       VzPu 30,40,60</t>
  </si>
  <si>
    <t xml:space="preserve">                   13.3       VzPi  40,60</t>
  </si>
  <si>
    <t>Finále         26.3       VzPu 30,40,60</t>
  </si>
  <si>
    <t xml:space="preserve">                  27.3      VzPi  40,60</t>
  </si>
  <si>
    <t>karpisekB@seznam.cz</t>
  </si>
  <si>
    <t>Lindnerová Pavlína</t>
  </si>
  <si>
    <t>Dundr Lukáš</t>
  </si>
  <si>
    <t>nový člen</t>
  </si>
  <si>
    <t>I.Vet</t>
  </si>
  <si>
    <t>Slezáková Blanka</t>
  </si>
  <si>
    <t>32672</t>
  </si>
  <si>
    <t>Keller Rudolf ml</t>
  </si>
  <si>
    <t>andrea.vreska@gmail.com</t>
  </si>
  <si>
    <t>Keller ml</t>
  </si>
  <si>
    <t>Počet desítek</t>
  </si>
  <si>
    <t>Ustí/L-Poláčkova 12  pošta  40011</t>
  </si>
  <si>
    <t xml:space="preserve">AVZO-Bílina </t>
  </si>
  <si>
    <t>Holečková Kateřina</t>
  </si>
  <si>
    <t>0405-Chomutov</t>
  </si>
  <si>
    <t>Hofrichter Lukáš</t>
  </si>
  <si>
    <t xml:space="preserve">Hlaváček </t>
  </si>
  <si>
    <t>Kristiníková</t>
  </si>
  <si>
    <t>Keller</t>
  </si>
  <si>
    <t>Vzda zel zdr.důvodu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</si>
</sst>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;@"/>
    <numFmt numFmtId="165" formatCode="_-* #,##0.000\ _K_č_-;\-* #,##0.0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25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u val="single"/>
      <sz val="16"/>
      <name val="Times New Roman"/>
      <family val="1"/>
    </font>
    <font>
      <b/>
      <u val="single"/>
      <sz val="13"/>
      <name val="Times New Roman"/>
      <family val="1"/>
    </font>
    <font>
      <b/>
      <u val="single"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u val="single"/>
      <sz val="8"/>
      <color indexed="12"/>
      <name val="Arial"/>
      <family val="2"/>
    </font>
    <font>
      <b/>
      <i/>
      <sz val="10"/>
      <name val="Arial CE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4"/>
      <name val="Script MT Bold"/>
      <family val="4"/>
    </font>
    <font>
      <b/>
      <sz val="14"/>
      <name val="Arial Narrow"/>
      <family val="2"/>
    </font>
    <font>
      <b/>
      <u val="single"/>
      <sz val="16"/>
      <name val="Arial Narrow"/>
      <family val="2"/>
    </font>
    <font>
      <sz val="10"/>
      <color indexed="10"/>
      <name val="Arial"/>
      <family val="2"/>
    </font>
    <font>
      <b/>
      <u val="single"/>
      <sz val="20"/>
      <name val="Arial"/>
      <family val="2"/>
    </font>
    <font>
      <sz val="10"/>
      <color indexed="10"/>
      <name val="Arial CE"/>
      <family val="2"/>
    </font>
    <font>
      <i/>
      <sz val="10"/>
      <color indexed="10"/>
      <name val="Arial CE"/>
      <family val="2"/>
    </font>
    <font>
      <sz val="10"/>
      <color indexed="48"/>
      <name val="Arial"/>
      <family val="2"/>
    </font>
    <font>
      <sz val="10"/>
      <color indexed="48"/>
      <name val="Arial CE"/>
      <family val="2"/>
    </font>
    <font>
      <b/>
      <sz val="10"/>
      <color indexed="48"/>
      <name val="Arial CE"/>
      <family val="0"/>
    </font>
    <font>
      <b/>
      <sz val="14"/>
      <color indexed="10"/>
      <name val="Times New Roman"/>
      <family val="1"/>
    </font>
    <font>
      <b/>
      <sz val="10"/>
      <color indexed="48"/>
      <name val="Arial"/>
      <family val="2"/>
    </font>
    <font>
      <sz val="11"/>
      <name val="Arial CE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4"/>
      <color indexed="48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48"/>
      <name val="Arial"/>
      <family val="2"/>
    </font>
    <font>
      <sz val="16"/>
      <name val="Arial"/>
      <family val="2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0"/>
      <name val="Arial"/>
      <family val="0"/>
    </font>
    <font>
      <sz val="9"/>
      <name val="Arial"/>
      <family val="2"/>
    </font>
    <font>
      <i/>
      <sz val="10"/>
      <name val="Footlight MT Light"/>
      <family val="1"/>
    </font>
    <font>
      <i/>
      <u val="single"/>
      <sz val="16"/>
      <name val="Footlight MT Light"/>
      <family val="1"/>
    </font>
    <font>
      <b/>
      <i/>
      <u val="single"/>
      <sz val="16"/>
      <name val="Footlight MT Light"/>
      <family val="1"/>
    </font>
    <font>
      <i/>
      <sz val="16"/>
      <name val="Footlight MT Light"/>
      <family val="1"/>
    </font>
    <font>
      <b/>
      <i/>
      <u val="single"/>
      <sz val="14"/>
      <name val="Arial"/>
      <family val="2"/>
    </font>
    <font>
      <b/>
      <i/>
      <u val="single"/>
      <sz val="12"/>
      <name val="Footlight MT Light"/>
      <family val="1"/>
    </font>
    <font>
      <b/>
      <u val="single"/>
      <sz val="12"/>
      <name val="Arial"/>
      <family val="2"/>
    </font>
    <font>
      <b/>
      <i/>
      <u val="single"/>
      <sz val="10"/>
      <name val="Footlight MT Light"/>
      <family val="1"/>
    </font>
    <font>
      <i/>
      <u val="single"/>
      <sz val="10"/>
      <name val="Footlight MT Light"/>
      <family val="1"/>
    </font>
    <font>
      <b/>
      <i/>
      <u val="single"/>
      <sz val="9"/>
      <name val="Arial"/>
      <family val="2"/>
    </font>
    <font>
      <b/>
      <i/>
      <u val="single"/>
      <sz val="8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sz val="8"/>
      <name val="Arial"/>
      <family val="0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1"/>
      <name val="Arial CE"/>
      <family val="0"/>
    </font>
    <font>
      <b/>
      <i/>
      <sz val="10"/>
      <name val="Times New Roman"/>
      <family val="1"/>
    </font>
    <font>
      <b/>
      <i/>
      <sz val="20"/>
      <name val="Monotype Corsiva"/>
      <family val="4"/>
    </font>
    <font>
      <b/>
      <sz val="2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9"/>
      <name val="Arial CE"/>
      <family val="2"/>
    </font>
    <font>
      <i/>
      <sz val="9"/>
      <name val="Arial CE"/>
      <family val="0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b/>
      <i/>
      <sz val="12"/>
      <name val="Arial CE"/>
      <family val="0"/>
    </font>
    <font>
      <b/>
      <sz val="12"/>
      <name val="Arial CE"/>
      <family val="0"/>
    </font>
    <font>
      <b/>
      <i/>
      <sz val="10"/>
      <name val="Comic Sans MS"/>
      <family val="4"/>
    </font>
    <font>
      <b/>
      <sz val="10"/>
      <color indexed="10"/>
      <name val="Arial CE"/>
      <family val="2"/>
    </font>
    <font>
      <b/>
      <i/>
      <sz val="12"/>
      <name val="Arial"/>
      <family val="2"/>
    </font>
    <font>
      <b/>
      <sz val="18"/>
      <name val="Ravie"/>
      <family val="5"/>
    </font>
    <font>
      <b/>
      <sz val="20"/>
      <name val="Ravie"/>
      <family val="5"/>
    </font>
    <font>
      <sz val="8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6"/>
      <color indexed="10"/>
      <name val="Times New Roman"/>
      <family val="1"/>
    </font>
    <font>
      <b/>
      <sz val="11"/>
      <color indexed="10"/>
      <name val="Arial"/>
      <family val="2"/>
    </font>
    <font>
      <b/>
      <sz val="11"/>
      <color indexed="10"/>
      <name val="Arial CE"/>
      <family val="0"/>
    </font>
    <font>
      <sz val="22"/>
      <color indexed="10"/>
      <name val="Arial CE"/>
      <family val="2"/>
    </font>
    <font>
      <sz val="22"/>
      <name val="Arial CE"/>
      <family val="2"/>
    </font>
    <font>
      <sz val="22"/>
      <name val="Arial"/>
      <family val="2"/>
    </font>
    <font>
      <b/>
      <sz val="22"/>
      <color indexed="10"/>
      <name val="Arial"/>
      <family val="2"/>
    </font>
    <font>
      <b/>
      <sz val="22"/>
      <color indexed="48"/>
      <name val="Arial CE"/>
      <family val="2"/>
    </font>
    <font>
      <u val="single"/>
      <sz val="8"/>
      <color indexed="36"/>
      <name val="Arial"/>
      <family val="2"/>
    </font>
    <font>
      <b/>
      <i/>
      <u val="single"/>
      <sz val="12"/>
      <name val="Franklin Gothic Demi Cond"/>
      <family val="2"/>
    </font>
    <font>
      <b/>
      <i/>
      <u val="single"/>
      <sz val="12"/>
      <name val="Rage Italic"/>
      <family val="4"/>
    </font>
    <font>
      <b/>
      <i/>
      <u val="single"/>
      <sz val="16"/>
      <name val="Script MT Bold"/>
      <family val="4"/>
    </font>
    <font>
      <b/>
      <u val="single"/>
      <sz val="16"/>
      <name val="Script MT Bold"/>
      <family val="4"/>
    </font>
    <font>
      <b/>
      <i/>
      <u val="single"/>
      <sz val="16"/>
      <name val="Monotype Corsiva"/>
      <family val="4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name val="Arial CE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20"/>
      <name val="Monotype Corsiva"/>
      <family val="4"/>
    </font>
    <font>
      <sz val="14"/>
      <color indexed="10"/>
      <name val="Times New Roman"/>
      <family val="1"/>
    </font>
    <font>
      <b/>
      <i/>
      <sz val="10"/>
      <color indexed="10"/>
      <name val="Arial CE"/>
      <family val="2"/>
    </font>
    <font>
      <sz val="11"/>
      <color indexed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1" fillId="3" borderId="0" applyNumberFormat="0" applyBorder="0" applyAlignment="0" applyProtection="0"/>
    <xf numFmtId="0" fontId="1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5" fillId="0" borderId="5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8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119" fillId="4" borderId="0" applyNumberFormat="0" applyBorder="0" applyAlignment="0" applyProtection="0"/>
    <xf numFmtId="0" fontId="120" fillId="0" borderId="0" applyNumberFormat="0" applyFill="0" applyBorder="0" applyAlignment="0" applyProtection="0"/>
    <xf numFmtId="0" fontId="121" fillId="7" borderId="8" applyNumberFormat="0" applyAlignment="0" applyProtection="0"/>
    <xf numFmtId="0" fontId="122" fillId="19" borderId="8" applyNumberFormat="0" applyAlignment="0" applyProtection="0"/>
    <xf numFmtId="0" fontId="123" fillId="19" borderId="9" applyNumberFormat="0" applyAlignment="0" applyProtection="0"/>
    <xf numFmtId="0" fontId="124" fillId="0" borderId="0" applyNumberFormat="0" applyFill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23" borderId="0" applyNumberFormat="0" applyBorder="0" applyAlignment="0" applyProtection="0"/>
  </cellStyleXfs>
  <cellXfs count="51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0" fillId="0" borderId="12" xfId="0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30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40" fillId="0" borderId="0" xfId="0" applyFont="1" applyBorder="1" applyAlignment="1">
      <alignment/>
    </xf>
    <xf numFmtId="49" fontId="2" fillId="0" borderId="1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3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7" fillId="0" borderId="18" xfId="0" applyFont="1" applyBorder="1" applyAlignment="1">
      <alignment/>
    </xf>
    <xf numFmtId="0" fontId="48" fillId="0" borderId="18" xfId="0" applyFont="1" applyBorder="1" applyAlignment="1">
      <alignment/>
    </xf>
    <xf numFmtId="0" fontId="49" fillId="0" borderId="18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62" fillId="0" borderId="0" xfId="0" applyFont="1" applyAlignment="1">
      <alignment horizontal="justify"/>
    </xf>
    <xf numFmtId="0" fontId="62" fillId="0" borderId="0" xfId="0" applyFont="1" applyAlignment="1">
      <alignment/>
    </xf>
    <xf numFmtId="0" fontId="41" fillId="0" borderId="0" xfId="0" applyFont="1" applyBorder="1" applyAlignment="1">
      <alignment horizontal="left"/>
    </xf>
    <xf numFmtId="0" fontId="5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41" fillId="0" borderId="0" xfId="36" applyFont="1" applyBorder="1" applyAlignment="1" applyProtection="1">
      <alignment/>
      <protection/>
    </xf>
    <xf numFmtId="0" fontId="53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7" fillId="0" borderId="17" xfId="0" applyFont="1" applyFill="1" applyBorder="1" applyAlignment="1">
      <alignment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7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3" fontId="7" fillId="0" borderId="21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3" fontId="7" fillId="0" borderId="2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49" fontId="0" fillId="0" borderId="19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3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3" fontId="30" fillId="0" borderId="0" xfId="0" applyNumberFormat="1" applyFont="1" applyFill="1" applyBorder="1" applyAlignment="1" applyProtection="1">
      <alignment horizontal="center"/>
      <protection locked="0"/>
    </xf>
    <xf numFmtId="3" fontId="30" fillId="0" borderId="0" xfId="0" applyNumberFormat="1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3" fontId="30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67" fillId="0" borderId="15" xfId="0" applyFont="1" applyBorder="1" applyAlignment="1">
      <alignment/>
    </xf>
    <xf numFmtId="0" fontId="68" fillId="0" borderId="14" xfId="0" applyFont="1" applyFill="1" applyBorder="1" applyAlignment="1">
      <alignment horizontal="center"/>
    </xf>
    <xf numFmtId="0" fontId="41" fillId="0" borderId="14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69" fillId="0" borderId="13" xfId="0" applyNumberFormat="1" applyFont="1" applyBorder="1" applyAlignment="1">
      <alignment horizontal="left" vertical="center" wrapText="1"/>
    </xf>
    <xf numFmtId="0" fontId="69" fillId="0" borderId="13" xfId="0" applyFont="1" applyBorder="1" applyAlignment="1">
      <alignment/>
    </xf>
    <xf numFmtId="0" fontId="69" fillId="0" borderId="13" xfId="0" applyFont="1" applyFill="1" applyBorder="1" applyAlignment="1">
      <alignment/>
    </xf>
    <xf numFmtId="0" fontId="69" fillId="0" borderId="13" xfId="0" applyNumberFormat="1" applyFont="1" applyFill="1" applyBorder="1" applyAlignment="1">
      <alignment horizontal="left" vertical="center" wrapText="1"/>
    </xf>
    <xf numFmtId="0" fontId="69" fillId="0" borderId="13" xfId="0" applyFont="1" applyBorder="1" applyAlignment="1">
      <alignment/>
    </xf>
    <xf numFmtId="0" fontId="69" fillId="0" borderId="13" xfId="0" applyFont="1" applyFill="1" applyBorder="1" applyAlignment="1">
      <alignment/>
    </xf>
    <xf numFmtId="0" fontId="69" fillId="0" borderId="13" xfId="0" applyNumberFormat="1" applyFont="1" applyBorder="1" applyAlignment="1">
      <alignment horizontal="left" wrapText="1"/>
    </xf>
    <xf numFmtId="0" fontId="41" fillId="0" borderId="0" xfId="0" applyFont="1" applyFill="1" applyAlignment="1">
      <alignment/>
    </xf>
    <xf numFmtId="0" fontId="69" fillId="0" borderId="17" xfId="0" applyFont="1" applyBorder="1" applyAlignment="1">
      <alignment/>
    </xf>
    <xf numFmtId="0" fontId="67" fillId="0" borderId="16" xfId="0" applyFont="1" applyFill="1" applyBorder="1" applyAlignment="1">
      <alignment/>
    </xf>
    <xf numFmtId="0" fontId="68" fillId="0" borderId="15" xfId="0" applyFont="1" applyFill="1" applyBorder="1" applyAlignment="1">
      <alignment horizontal="center"/>
    </xf>
    <xf numFmtId="0" fontId="41" fillId="0" borderId="17" xfId="0" applyFont="1" applyFill="1" applyBorder="1" applyAlignment="1">
      <alignment/>
    </xf>
    <xf numFmtId="0" fontId="41" fillId="0" borderId="0" xfId="0" applyFont="1" applyFill="1" applyAlignment="1">
      <alignment horizontal="center"/>
    </xf>
    <xf numFmtId="0" fontId="70" fillId="0" borderId="0" xfId="0" applyFont="1" applyAlignment="1">
      <alignment horizontal="center"/>
    </xf>
    <xf numFmtId="0" fontId="70" fillId="0" borderId="0" xfId="0" applyFont="1" applyFill="1" applyAlignment="1">
      <alignment horizont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0" xfId="0" applyNumberFormat="1" applyFont="1" applyBorder="1" applyAlignment="1">
      <alignment horizontal="center" vertical="center" wrapText="1"/>
    </xf>
    <xf numFmtId="0" fontId="69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69" fillId="0" borderId="0" xfId="0" applyNumberFormat="1" applyFont="1" applyAlignment="1">
      <alignment horizontal="center" vertical="center" wrapText="1"/>
    </xf>
    <xf numFmtId="0" fontId="69" fillId="0" borderId="0" xfId="0" applyNumberFormat="1" applyFont="1" applyBorder="1" applyAlignment="1">
      <alignment horizontal="center" wrapText="1"/>
    </xf>
    <xf numFmtId="0" fontId="69" fillId="0" borderId="0" xfId="0" applyNumberFormat="1" applyFont="1" applyFill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/>
    </xf>
    <xf numFmtId="0" fontId="41" fillId="0" borderId="28" xfId="0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 wrapText="1"/>
    </xf>
    <xf numFmtId="49" fontId="41" fillId="0" borderId="14" xfId="0" applyNumberFormat="1" applyFont="1" applyFill="1" applyBorder="1" applyAlignment="1">
      <alignment horizontal="center"/>
    </xf>
    <xf numFmtId="49" fontId="41" fillId="0" borderId="13" xfId="0" applyNumberFormat="1" applyFont="1" applyFill="1" applyBorder="1" applyAlignment="1">
      <alignment horizontal="center"/>
    </xf>
    <xf numFmtId="49" fontId="69" fillId="0" borderId="13" xfId="0" applyNumberFormat="1" applyFont="1" applyFill="1" applyBorder="1" applyAlignment="1">
      <alignment horizontal="center"/>
    </xf>
    <xf numFmtId="49" fontId="41" fillId="0" borderId="17" xfId="0" applyNumberFormat="1" applyFont="1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1" fillId="0" borderId="15" xfId="0" applyFont="1" applyFill="1" applyBorder="1" applyAlignment="1">
      <alignment horizontal="center" wrapText="1"/>
    </xf>
    <xf numFmtId="0" fontId="69" fillId="0" borderId="14" xfId="0" applyFont="1" applyFill="1" applyBorder="1" applyAlignment="1">
      <alignment horizontal="center"/>
    </xf>
    <xf numFmtId="0" fontId="69" fillId="0" borderId="13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69" fillId="0" borderId="13" xfId="0" applyNumberFormat="1" applyFont="1" applyBorder="1" applyAlignment="1">
      <alignment horizontal="center" vertical="center" wrapText="1"/>
    </xf>
    <xf numFmtId="0" fontId="69" fillId="0" borderId="13" xfId="0" applyNumberFormat="1" applyFont="1" applyFill="1" applyBorder="1" applyAlignment="1">
      <alignment horizontal="center" vertical="center" wrapText="1"/>
    </xf>
    <xf numFmtId="0" fontId="69" fillId="0" borderId="13" xfId="0" applyFont="1" applyBorder="1" applyAlignment="1">
      <alignment horizontal="center"/>
    </xf>
    <xf numFmtId="0" fontId="69" fillId="0" borderId="17" xfId="0" applyFont="1" applyFill="1" applyBorder="1" applyAlignment="1">
      <alignment horizontal="center"/>
    </xf>
    <xf numFmtId="3" fontId="41" fillId="0" borderId="0" xfId="0" applyNumberFormat="1" applyFont="1" applyFill="1" applyBorder="1" applyAlignment="1" applyProtection="1">
      <alignment horizontal="center"/>
      <protection locked="0"/>
    </xf>
    <xf numFmtId="3" fontId="71" fillId="0" borderId="13" xfId="0" applyNumberFormat="1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71" fillId="0" borderId="15" xfId="0" applyFont="1" applyFill="1" applyBorder="1" applyAlignment="1">
      <alignment horizontal="center" vertical="center" wrapText="1"/>
    </xf>
    <xf numFmtId="3" fontId="71" fillId="0" borderId="14" xfId="0" applyNumberFormat="1" applyFont="1" applyFill="1" applyBorder="1" applyAlignment="1" applyProtection="1">
      <alignment horizontal="center"/>
      <protection locked="0"/>
    </xf>
    <xf numFmtId="3" fontId="71" fillId="0" borderId="13" xfId="0" applyNumberFormat="1" applyFont="1" applyFill="1" applyBorder="1" applyAlignment="1" applyProtection="1">
      <alignment horizontal="center"/>
      <protection locked="0"/>
    </xf>
    <xf numFmtId="3" fontId="71" fillId="0" borderId="17" xfId="0" applyNumberFormat="1" applyFont="1" applyFill="1" applyBorder="1" applyAlignment="1" applyProtection="1">
      <alignment horizontal="center"/>
      <protection locked="0"/>
    </xf>
    <xf numFmtId="3" fontId="71" fillId="0" borderId="0" xfId="0" applyNumberFormat="1" applyFont="1" applyFill="1" applyBorder="1" applyAlignment="1" applyProtection="1">
      <alignment horizontal="center"/>
      <protection locked="0"/>
    </xf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wrapText="1"/>
    </xf>
    <xf numFmtId="0" fontId="71" fillId="0" borderId="0" xfId="0" applyFont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3" fillId="0" borderId="15" xfId="0" applyFont="1" applyFill="1" applyBorder="1" applyAlignment="1">
      <alignment horizontal="center" vertical="center" wrapText="1"/>
    </xf>
    <xf numFmtId="3" fontId="72" fillId="0" borderId="14" xfId="0" applyNumberFormat="1" applyFont="1" applyFill="1" applyBorder="1" applyAlignment="1" applyProtection="1">
      <alignment horizontal="center"/>
      <protection locked="0"/>
    </xf>
    <xf numFmtId="3" fontId="72" fillId="0" borderId="13" xfId="0" applyNumberFormat="1" applyFont="1" applyFill="1" applyBorder="1" applyAlignment="1" applyProtection="1">
      <alignment horizontal="center"/>
      <protection locked="0"/>
    </xf>
    <xf numFmtId="3" fontId="74" fillId="0" borderId="13" xfId="36" applyNumberFormat="1" applyFont="1" applyFill="1" applyBorder="1" applyAlignment="1" applyProtection="1">
      <alignment horizontal="center"/>
      <protection locked="0"/>
    </xf>
    <xf numFmtId="0" fontId="74" fillId="0" borderId="0" xfId="36" applyFont="1" applyBorder="1" applyAlignment="1" applyProtection="1">
      <alignment horizontal="center"/>
      <protection/>
    </xf>
    <xf numFmtId="3" fontId="72" fillId="0" borderId="17" xfId="0" applyNumberFormat="1" applyFont="1" applyFill="1" applyBorder="1" applyAlignment="1" applyProtection="1">
      <alignment horizontal="center"/>
      <protection locked="0"/>
    </xf>
    <xf numFmtId="3" fontId="72" fillId="0" borderId="0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wrapText="1"/>
    </xf>
    <xf numFmtId="0" fontId="72" fillId="0" borderId="0" xfId="0" applyFont="1" applyFill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Fill="1" applyAlignment="1">
      <alignment horizontal="center"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2" fillId="0" borderId="10" xfId="0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56" fillId="0" borderId="11" xfId="0" applyFont="1" applyFill="1" applyBorder="1" applyAlignment="1">
      <alignment horizontal="center" wrapText="1"/>
    </xf>
    <xf numFmtId="0" fontId="41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77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Fill="1" applyAlignment="1">
      <alignment horizontal="center"/>
    </xf>
    <xf numFmtId="0" fontId="7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9" fillId="0" borderId="0" xfId="36" applyFill="1" applyAlignment="1" applyProtection="1">
      <alignment/>
      <protection/>
    </xf>
    <xf numFmtId="0" fontId="7" fillId="0" borderId="0" xfId="0" applyNumberFormat="1" applyFont="1" applyBorder="1" applyAlignment="1">
      <alignment horizontal="center"/>
    </xf>
    <xf numFmtId="0" fontId="79" fillId="0" borderId="0" xfId="0" applyFont="1" applyAlignment="1">
      <alignment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>
      <alignment horizontal="center" wrapText="1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165" fontId="62" fillId="0" borderId="0" xfId="34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34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horizontal="center"/>
    </xf>
    <xf numFmtId="3" fontId="18" fillId="0" borderId="13" xfId="0" applyNumberFormat="1" applyFont="1" applyFill="1" applyBorder="1" applyAlignment="1" applyProtection="1">
      <alignment horizontal="center"/>
      <protection locked="0"/>
    </xf>
    <xf numFmtId="3" fontId="18" fillId="0" borderId="17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18" fillId="0" borderId="21" xfId="0" applyNumberFormat="1" applyFont="1" applyFill="1" applyBorder="1" applyAlignment="1" applyProtection="1">
      <alignment horizontal="center"/>
      <protection locked="0"/>
    </xf>
    <xf numFmtId="0" fontId="29" fillId="0" borderId="17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0" fontId="85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89" fillId="0" borderId="0" xfId="0" applyFont="1" applyAlignment="1">
      <alignment/>
    </xf>
    <xf numFmtId="0" fontId="0" fillId="0" borderId="33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center" wrapText="1"/>
    </xf>
    <xf numFmtId="3" fontId="30" fillId="0" borderId="0" xfId="0" applyNumberFormat="1" applyFont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20" fillId="0" borderId="0" xfId="0" applyNumberFormat="1" applyFont="1" applyAlignment="1">
      <alignment horizontal="center" vertical="center" wrapText="1"/>
    </xf>
    <xf numFmtId="0" fontId="87" fillId="0" borderId="0" xfId="0" applyFont="1" applyAlignment="1">
      <alignment horizontal="center"/>
    </xf>
    <xf numFmtId="0" fontId="88" fillId="0" borderId="0" xfId="0" applyFont="1" applyAlignment="1">
      <alignment/>
    </xf>
    <xf numFmtId="0" fontId="78" fillId="0" borderId="0" xfId="0" applyFont="1" applyAlignment="1">
      <alignment horizontal="center"/>
    </xf>
    <xf numFmtId="3" fontId="18" fillId="0" borderId="22" xfId="0" applyNumberFormat="1" applyFont="1" applyFill="1" applyBorder="1" applyAlignment="1" applyProtection="1">
      <alignment horizontal="center"/>
      <protection locked="0"/>
    </xf>
    <xf numFmtId="0" fontId="88" fillId="0" borderId="0" xfId="0" applyFont="1" applyAlignment="1">
      <alignment/>
    </xf>
    <xf numFmtId="0" fontId="89" fillId="0" borderId="0" xfId="0" applyFont="1" applyAlignment="1">
      <alignment horizontal="center"/>
    </xf>
    <xf numFmtId="0" fontId="89" fillId="0" borderId="0" xfId="0" applyFont="1" applyBorder="1" applyAlignment="1">
      <alignment horizontal="center"/>
    </xf>
    <xf numFmtId="0" fontId="90" fillId="0" borderId="0" xfId="0" applyFont="1" applyBorder="1" applyAlignment="1">
      <alignment/>
    </xf>
    <xf numFmtId="3" fontId="91" fillId="0" borderId="0" xfId="0" applyNumberFormat="1" applyFont="1" applyFill="1" applyBorder="1" applyAlignment="1">
      <alignment horizontal="center"/>
    </xf>
    <xf numFmtId="0" fontId="88" fillId="0" borderId="0" xfId="0" applyFont="1" applyAlignment="1">
      <alignment horizontal="center"/>
    </xf>
    <xf numFmtId="0" fontId="92" fillId="0" borderId="0" xfId="0" applyFont="1" applyAlignment="1">
      <alignment horizontal="center" vertical="center" wrapText="1"/>
    </xf>
    <xf numFmtId="0" fontId="94" fillId="0" borderId="18" xfId="0" applyFont="1" applyBorder="1" applyAlignment="1">
      <alignment/>
    </xf>
    <xf numFmtId="0" fontId="96" fillId="0" borderId="18" xfId="0" applyFont="1" applyBorder="1" applyAlignment="1">
      <alignment/>
    </xf>
    <xf numFmtId="0" fontId="97" fillId="0" borderId="18" xfId="0" applyFont="1" applyBorder="1" applyAlignment="1">
      <alignment/>
    </xf>
    <xf numFmtId="0" fontId="71" fillId="0" borderId="0" xfId="0" applyFont="1" applyBorder="1" applyAlignment="1">
      <alignment/>
    </xf>
    <xf numFmtId="0" fontId="74" fillId="0" borderId="0" xfId="36" applyFont="1" applyFill="1" applyAlignment="1" applyProtection="1">
      <alignment horizontal="center"/>
      <protection/>
    </xf>
    <xf numFmtId="0" fontId="73" fillId="0" borderId="0" xfId="0" applyFont="1" applyFill="1" applyAlignment="1">
      <alignment horizontal="center"/>
    </xf>
    <xf numFmtId="49" fontId="73" fillId="0" borderId="0" xfId="0" applyNumberFormat="1" applyFont="1" applyFill="1" applyAlignment="1">
      <alignment horizontal="center"/>
    </xf>
    <xf numFmtId="0" fontId="99" fillId="0" borderId="0" xfId="0" applyFont="1" applyFill="1" applyAlignment="1">
      <alignment horizontal="center"/>
    </xf>
    <xf numFmtId="0" fontId="72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01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9" fontId="31" fillId="0" borderId="0" xfId="0" applyNumberFormat="1" applyFont="1" applyFill="1" applyAlignment="1">
      <alignment horizontal="center"/>
    </xf>
    <xf numFmtId="0" fontId="102" fillId="0" borderId="0" xfId="0" applyFont="1" applyAlignment="1">
      <alignment horizontal="center"/>
    </xf>
    <xf numFmtId="0" fontId="100" fillId="0" borderId="0" xfId="0" applyFont="1" applyFill="1" applyAlignment="1">
      <alignment/>
    </xf>
    <xf numFmtId="0" fontId="74" fillId="0" borderId="0" xfId="36" applyFont="1" applyAlignment="1" applyProtection="1">
      <alignment horizontal="center"/>
      <protection/>
    </xf>
    <xf numFmtId="49" fontId="72" fillId="0" borderId="0" xfId="0" applyNumberFormat="1" applyFont="1" applyFill="1" applyAlignment="1">
      <alignment horizontal="center"/>
    </xf>
    <xf numFmtId="0" fontId="0" fillId="0" borderId="15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03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11" fontId="0" fillId="0" borderId="33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04" fillId="0" borderId="0" xfId="0" applyFont="1" applyFill="1" applyBorder="1" applyAlignment="1">
      <alignment horizontal="center"/>
    </xf>
    <xf numFmtId="0" fontId="81" fillId="0" borderId="0" xfId="0" applyFont="1" applyAlignment="1">
      <alignment/>
    </xf>
    <xf numFmtId="49" fontId="0" fillId="0" borderId="12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9" fillId="0" borderId="0" xfId="36" applyAlignment="1" applyProtection="1">
      <alignment/>
      <protection/>
    </xf>
    <xf numFmtId="0" fontId="2" fillId="0" borderId="33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87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6" fillId="0" borderId="0" xfId="0" applyFont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 horizontal="center"/>
    </xf>
    <xf numFmtId="0" fontId="10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108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18" fillId="0" borderId="14" xfId="0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3" fontId="0" fillId="0" borderId="29" xfId="0" applyNumberFormat="1" applyFont="1" applyFill="1" applyBorder="1" applyAlignment="1" applyProtection="1">
      <alignment horizontal="center"/>
      <protection locked="0"/>
    </xf>
    <xf numFmtId="3" fontId="0" fillId="0" borderId="29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49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8" fillId="0" borderId="0" xfId="0" applyFont="1" applyAlignment="1">
      <alignment horizontal="center" vertical="center" wrapText="1" shrinkToFit="1"/>
    </xf>
    <xf numFmtId="0" fontId="2" fillId="0" borderId="0" xfId="0" applyNumberFormat="1" applyFont="1" applyBorder="1" applyAlignment="1">
      <alignment horizontal="center"/>
    </xf>
    <xf numFmtId="0" fontId="107" fillId="0" borderId="0" xfId="0" applyFont="1" applyAlignment="1">
      <alignment horizontal="center" vertical="center" wrapText="1"/>
    </xf>
    <xf numFmtId="0" fontId="76" fillId="0" borderId="0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27" fillId="0" borderId="35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7" fillId="0" borderId="38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49" fontId="0" fillId="0" borderId="40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3" fontId="7" fillId="0" borderId="1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3" fontId="7" fillId="0" borderId="29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1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19" fillId="0" borderId="41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49" fontId="19" fillId="0" borderId="43" xfId="0" applyNumberFormat="1" applyFont="1" applyBorder="1" applyAlignment="1">
      <alignment horizontal="center"/>
    </xf>
    <xf numFmtId="49" fontId="66" fillId="0" borderId="0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vaclavsehnoutka@seznam.cz" TargetMode="External" /><Relationship Id="rId2" Type="http://schemas.openxmlformats.org/officeDocument/2006/relationships/hyperlink" Target="mailto:puskarmira.13@seznam.cz" TargetMode="External" /><Relationship Id="rId3" Type="http://schemas.openxmlformats.org/officeDocument/2006/relationships/hyperlink" Target="mailto:jiri.filipovsky@volny.cz" TargetMode="External" /><Relationship Id="rId4" Type="http://schemas.openxmlformats.org/officeDocument/2006/relationships/hyperlink" Target="mailto:kratochvilmilan@seznam.cz" TargetMode="External" /><Relationship Id="rId5" Type="http://schemas.openxmlformats.org/officeDocument/2006/relationships/hyperlink" Target="mailto:martina.nosova@volny.cz" TargetMode="External" /><Relationship Id="rId6" Type="http://schemas.openxmlformats.org/officeDocument/2006/relationships/hyperlink" Target="mailto:svobi.david@seznam.cz" TargetMode="External" /><Relationship Id="rId7" Type="http://schemas.openxmlformats.org/officeDocument/2006/relationships/hyperlink" Target="mailto:rudolf.hejna@seznam.cz" TargetMode="External" /><Relationship Id="rId8" Type="http://schemas.openxmlformats.org/officeDocument/2006/relationships/hyperlink" Target="mailto:karpisekB@seznam.cz" TargetMode="External" /><Relationship Id="rId9" Type="http://schemas.openxmlformats.org/officeDocument/2006/relationships/hyperlink" Target="mailto:andrea.vreska@gmail.com" TargetMode="External" /><Relationship Id="rId10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O140"/>
  <sheetViews>
    <sheetView zoomScale="80" zoomScaleNormal="80" zoomScalePageLayoutView="0" workbookViewId="0" topLeftCell="B4">
      <selection activeCell="Q13" sqref="Q13"/>
    </sheetView>
  </sheetViews>
  <sheetFormatPr defaultColWidth="9.140625" defaultRowHeight="12.75"/>
  <cols>
    <col min="1" max="1" width="7.00390625" style="0" customWidth="1"/>
    <col min="2" max="2" width="21.57421875" style="0" customWidth="1"/>
    <col min="3" max="5" width="17.7109375" style="3" customWidth="1"/>
    <col min="6" max="11" width="4.7109375" style="3" customWidth="1"/>
    <col min="12" max="12" width="8.7109375" style="3" customWidth="1"/>
    <col min="13" max="13" width="5.28125" style="50" customWidth="1"/>
    <col min="14" max="14" width="9.140625" style="76" customWidth="1"/>
  </cols>
  <sheetData>
    <row r="1" spans="1:13" ht="16.5" customHeight="1">
      <c r="A1" s="505" t="s">
        <v>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</row>
    <row r="2" spans="1:13" ht="30" customHeight="1">
      <c r="A2" s="23"/>
      <c r="B2" s="24"/>
      <c r="C2" s="25"/>
      <c r="D2" s="26" t="s">
        <v>18</v>
      </c>
      <c r="E2" s="25"/>
      <c r="F2" s="24"/>
      <c r="G2" s="24"/>
      <c r="H2" s="24"/>
      <c r="I2" s="24"/>
      <c r="J2" s="24"/>
      <c r="K2" s="24"/>
      <c r="L2" s="24"/>
      <c r="M2" s="65"/>
    </row>
    <row r="3" spans="1:8" ht="16.5" customHeight="1">
      <c r="A3" s="10" t="s">
        <v>22</v>
      </c>
      <c r="B3" s="11" t="s">
        <v>322</v>
      </c>
      <c r="C3" s="11"/>
      <c r="D3" s="11"/>
      <c r="E3" s="11"/>
      <c r="F3" s="11"/>
      <c r="G3" s="11"/>
      <c r="H3" s="11"/>
    </row>
    <row r="4" spans="1:5" ht="15.75">
      <c r="A4" s="19" t="s">
        <v>1</v>
      </c>
      <c r="B4" s="20"/>
      <c r="C4" s="506" t="s">
        <v>321</v>
      </c>
      <c r="D4" s="506"/>
      <c r="E4" s="21"/>
    </row>
    <row r="5" spans="1:5" ht="15.75">
      <c r="A5" s="19" t="s">
        <v>2</v>
      </c>
      <c r="B5" s="20"/>
      <c r="C5" s="22" t="s">
        <v>4</v>
      </c>
      <c r="D5" s="21"/>
      <c r="E5" s="21"/>
    </row>
    <row r="6" spans="1:5" ht="15.75">
      <c r="A6" s="19" t="s">
        <v>3</v>
      </c>
      <c r="B6" s="20"/>
      <c r="C6" s="22" t="s">
        <v>45</v>
      </c>
      <c r="D6" s="21"/>
      <c r="E6" s="21"/>
    </row>
    <row r="7" spans="3:14" s="1" customFormat="1" ht="12.75">
      <c r="C7" s="4"/>
      <c r="D7" s="4"/>
      <c r="E7" s="4"/>
      <c r="F7" s="4"/>
      <c r="G7" s="4"/>
      <c r="H7" s="4"/>
      <c r="I7" s="4"/>
      <c r="J7" s="4"/>
      <c r="K7" s="4"/>
      <c r="L7" s="4"/>
      <c r="M7" s="57"/>
      <c r="N7" s="66"/>
    </row>
    <row r="8" spans="1:14" s="1" customFormat="1" ht="12.75" customHeight="1">
      <c r="A8" s="6" t="s">
        <v>19</v>
      </c>
      <c r="B8" s="7"/>
      <c r="C8" s="8"/>
      <c r="D8" s="8"/>
      <c r="E8" s="8"/>
      <c r="F8" s="7"/>
      <c r="G8" s="7"/>
      <c r="H8" s="7"/>
      <c r="I8" s="7"/>
      <c r="J8" s="7"/>
      <c r="K8" s="7"/>
      <c r="L8" s="7"/>
      <c r="M8" s="58"/>
      <c r="N8" s="66"/>
    </row>
    <row r="9" spans="1:14" s="1" customFormat="1" ht="25.5" customHeight="1">
      <c r="A9" s="2" t="s">
        <v>8</v>
      </c>
      <c r="B9" s="18" t="s">
        <v>9</v>
      </c>
      <c r="C9" s="18" t="s">
        <v>5</v>
      </c>
      <c r="D9" s="18" t="s">
        <v>6</v>
      </c>
      <c r="E9" s="18" t="s">
        <v>7</v>
      </c>
      <c r="F9" s="2" t="s">
        <v>38</v>
      </c>
      <c r="G9" s="2" t="s">
        <v>39</v>
      </c>
      <c r="H9" s="2" t="s">
        <v>40</v>
      </c>
      <c r="I9" s="2" t="s">
        <v>41</v>
      </c>
      <c r="J9" s="2" t="s">
        <v>42</v>
      </c>
      <c r="K9" s="2" t="s">
        <v>43</v>
      </c>
      <c r="L9" s="17" t="s">
        <v>10</v>
      </c>
      <c r="M9" s="59" t="s">
        <v>44</v>
      </c>
      <c r="N9" s="66"/>
    </row>
    <row r="10" spans="1:14" s="1" customFormat="1" ht="12.75">
      <c r="A10" s="5" t="s">
        <v>22</v>
      </c>
      <c r="B10" s="159" t="s">
        <v>159</v>
      </c>
      <c r="C10" s="12">
        <v>1994</v>
      </c>
      <c r="D10" s="12">
        <v>37964</v>
      </c>
      <c r="E10" s="4" t="s">
        <v>152</v>
      </c>
      <c r="F10" s="12">
        <v>84</v>
      </c>
      <c r="G10" s="12">
        <v>84</v>
      </c>
      <c r="H10" s="12">
        <v>81</v>
      </c>
      <c r="I10" s="12">
        <v>84</v>
      </c>
      <c r="J10" s="12"/>
      <c r="K10" s="12"/>
      <c r="L10" s="9">
        <f>SUM(F10:K10)</f>
        <v>333</v>
      </c>
      <c r="M10" s="60" t="s">
        <v>265</v>
      </c>
      <c r="N10" s="66"/>
    </row>
    <row r="11" spans="1:14" s="1" customFormat="1" ht="12.75">
      <c r="A11" s="5" t="s">
        <v>23</v>
      </c>
      <c r="B11" s="365" t="s">
        <v>259</v>
      </c>
      <c r="C11" s="4">
        <v>1994</v>
      </c>
      <c r="D11" s="4">
        <v>31673</v>
      </c>
      <c r="E11" s="4" t="s">
        <v>352</v>
      </c>
      <c r="F11" s="12">
        <v>77</v>
      </c>
      <c r="G11" s="12">
        <v>70</v>
      </c>
      <c r="H11" s="12">
        <v>71</v>
      </c>
      <c r="I11" s="12">
        <v>83</v>
      </c>
      <c r="J11" s="12"/>
      <c r="K11" s="12"/>
      <c r="L11" s="9">
        <f>SUM(F11:K11)</f>
        <v>301</v>
      </c>
      <c r="M11" s="60"/>
      <c r="N11" s="66"/>
    </row>
    <row r="12" spans="1:14" s="1" customFormat="1" ht="12.75">
      <c r="A12" s="5"/>
      <c r="B12" s="13"/>
      <c r="C12" s="12"/>
      <c r="D12" s="12"/>
      <c r="E12" s="12"/>
      <c r="F12" s="12"/>
      <c r="G12" s="12"/>
      <c r="H12" s="12"/>
      <c r="I12" s="12"/>
      <c r="J12" s="12"/>
      <c r="K12" s="12"/>
      <c r="L12" s="9"/>
      <c r="M12" s="60"/>
      <c r="N12" s="66"/>
    </row>
    <row r="13" spans="1:14" s="1" customFormat="1" ht="24.75" customHeight="1">
      <c r="A13" s="6" t="s">
        <v>20</v>
      </c>
      <c r="B13" s="7"/>
      <c r="C13" s="8"/>
      <c r="D13" s="8"/>
      <c r="E13" s="8"/>
      <c r="F13" s="7"/>
      <c r="G13" s="7"/>
      <c r="H13" s="7"/>
      <c r="I13" s="7"/>
      <c r="J13" s="7"/>
      <c r="K13" s="7"/>
      <c r="L13" s="7"/>
      <c r="M13" s="58"/>
      <c r="N13" s="66"/>
    </row>
    <row r="14" spans="1:15" s="1" customFormat="1" ht="25.5" customHeight="1">
      <c r="A14" s="2" t="s">
        <v>8</v>
      </c>
      <c r="B14" s="18" t="s">
        <v>9</v>
      </c>
      <c r="C14" s="18" t="s">
        <v>5</v>
      </c>
      <c r="D14" s="18" t="s">
        <v>6</v>
      </c>
      <c r="E14" s="18" t="s">
        <v>7</v>
      </c>
      <c r="F14" s="2" t="s">
        <v>38</v>
      </c>
      <c r="G14" s="2" t="s">
        <v>39</v>
      </c>
      <c r="H14" s="2" t="s">
        <v>40</v>
      </c>
      <c r="I14" s="2" t="s">
        <v>41</v>
      </c>
      <c r="J14" s="2" t="s">
        <v>42</v>
      </c>
      <c r="K14" s="2" t="s">
        <v>43</v>
      </c>
      <c r="L14" s="17" t="s">
        <v>10</v>
      </c>
      <c r="M14" s="59" t="s">
        <v>44</v>
      </c>
      <c r="N14" s="67" t="s">
        <v>100</v>
      </c>
      <c r="O14" s="27"/>
    </row>
    <row r="15" spans="1:14" s="1" customFormat="1" ht="12.75">
      <c r="A15" s="5" t="s">
        <v>22</v>
      </c>
      <c r="B15" s="137" t="s">
        <v>360</v>
      </c>
      <c r="C15" s="109">
        <v>1970</v>
      </c>
      <c r="D15" s="4">
        <v>29592</v>
      </c>
      <c r="E15" s="4" t="s">
        <v>349</v>
      </c>
      <c r="F15" s="4">
        <v>96</v>
      </c>
      <c r="G15" s="4">
        <v>97</v>
      </c>
      <c r="H15" s="4">
        <v>94</v>
      </c>
      <c r="I15" s="4">
        <v>90</v>
      </c>
      <c r="J15" s="4">
        <v>95</v>
      </c>
      <c r="K15" s="4">
        <v>90</v>
      </c>
      <c r="L15" s="9">
        <f aca="true" t="shared" si="0" ref="L15:L29">SUM(F15:K15)</f>
        <v>562</v>
      </c>
      <c r="M15" s="57" t="s">
        <v>266</v>
      </c>
      <c r="N15" s="66">
        <f aca="true" t="shared" si="1" ref="N15:N29">SUM(F15:I15)</f>
        <v>377</v>
      </c>
    </row>
    <row r="16" spans="1:14" s="1" customFormat="1" ht="12.75">
      <c r="A16" s="5" t="s">
        <v>318</v>
      </c>
      <c r="B16" s="137" t="s">
        <v>49</v>
      </c>
      <c r="C16" s="55">
        <v>1954</v>
      </c>
      <c r="D16" s="4">
        <v>17785</v>
      </c>
      <c r="E16" s="4" t="s">
        <v>97</v>
      </c>
      <c r="F16" s="4">
        <v>94</v>
      </c>
      <c r="G16" s="4">
        <v>91</v>
      </c>
      <c r="H16" s="4">
        <v>94</v>
      </c>
      <c r="I16" s="4">
        <v>94</v>
      </c>
      <c r="J16" s="4">
        <v>96</v>
      </c>
      <c r="K16" s="4">
        <v>91</v>
      </c>
      <c r="L16" s="9">
        <f t="shared" si="0"/>
        <v>560</v>
      </c>
      <c r="M16" s="57" t="s">
        <v>358</v>
      </c>
      <c r="N16" s="66">
        <f t="shared" si="1"/>
        <v>373</v>
      </c>
    </row>
    <row r="17" spans="1:14" s="1" customFormat="1" ht="12.75">
      <c r="A17" s="5" t="s">
        <v>376</v>
      </c>
      <c r="B17" s="137" t="s">
        <v>284</v>
      </c>
      <c r="C17" s="4">
        <v>1957</v>
      </c>
      <c r="D17" s="4">
        <v>32651</v>
      </c>
      <c r="E17" s="4" t="s">
        <v>349</v>
      </c>
      <c r="F17" s="4">
        <v>95</v>
      </c>
      <c r="G17" s="4">
        <v>91</v>
      </c>
      <c r="H17" s="4">
        <v>96</v>
      </c>
      <c r="I17" s="4">
        <v>92</v>
      </c>
      <c r="J17" s="4">
        <v>93</v>
      </c>
      <c r="K17" s="4">
        <v>92</v>
      </c>
      <c r="L17" s="9">
        <f t="shared" si="0"/>
        <v>559</v>
      </c>
      <c r="M17" s="57" t="s">
        <v>266</v>
      </c>
      <c r="N17" s="66">
        <f t="shared" si="1"/>
        <v>374</v>
      </c>
    </row>
    <row r="18" spans="1:14" s="1" customFormat="1" ht="12.75">
      <c r="A18" s="5" t="s">
        <v>377</v>
      </c>
      <c r="B18" s="137" t="s">
        <v>129</v>
      </c>
      <c r="C18" s="55">
        <v>1935</v>
      </c>
      <c r="D18" s="4">
        <v>1794</v>
      </c>
      <c r="E18" s="4" t="s">
        <v>348</v>
      </c>
      <c r="F18" s="4">
        <v>93</v>
      </c>
      <c r="G18" s="4">
        <v>90</v>
      </c>
      <c r="H18" s="4">
        <v>93</v>
      </c>
      <c r="I18" s="4">
        <v>92</v>
      </c>
      <c r="J18" s="4">
        <v>92</v>
      </c>
      <c r="K18" s="4">
        <v>92</v>
      </c>
      <c r="L18" s="9">
        <f t="shared" si="0"/>
        <v>552</v>
      </c>
      <c r="M18" s="57" t="s">
        <v>358</v>
      </c>
      <c r="N18" s="66">
        <f t="shared" si="1"/>
        <v>368</v>
      </c>
    </row>
    <row r="19" spans="1:14" s="1" customFormat="1" ht="12.75">
      <c r="A19" s="5" t="s">
        <v>378</v>
      </c>
      <c r="B19" s="137" t="s">
        <v>134</v>
      </c>
      <c r="C19" s="55">
        <v>1955</v>
      </c>
      <c r="D19" s="12">
        <v>17071</v>
      </c>
      <c r="E19" s="12" t="s">
        <v>355</v>
      </c>
      <c r="F19" s="12">
        <v>92</v>
      </c>
      <c r="G19" s="12">
        <v>91</v>
      </c>
      <c r="H19" s="12">
        <v>89</v>
      </c>
      <c r="I19" s="12">
        <v>90</v>
      </c>
      <c r="J19" s="12">
        <v>95</v>
      </c>
      <c r="K19" s="12">
        <v>94</v>
      </c>
      <c r="L19" s="9">
        <f t="shared" si="0"/>
        <v>551</v>
      </c>
      <c r="M19" s="57" t="s">
        <v>266</v>
      </c>
      <c r="N19" s="66">
        <f t="shared" si="1"/>
        <v>362</v>
      </c>
    </row>
    <row r="20" spans="1:14" s="1" customFormat="1" ht="12.75">
      <c r="A20" s="5" t="s">
        <v>379</v>
      </c>
      <c r="B20" s="137" t="s">
        <v>48</v>
      </c>
      <c r="C20" s="55">
        <v>1976</v>
      </c>
      <c r="D20" s="12">
        <v>32462</v>
      </c>
      <c r="E20" s="12" t="s">
        <v>97</v>
      </c>
      <c r="F20" s="12">
        <v>94</v>
      </c>
      <c r="G20" s="12">
        <v>93</v>
      </c>
      <c r="H20" s="12">
        <v>88</v>
      </c>
      <c r="I20" s="12">
        <v>90</v>
      </c>
      <c r="J20" s="12">
        <v>97</v>
      </c>
      <c r="K20" s="12">
        <v>89</v>
      </c>
      <c r="L20" s="9">
        <f t="shared" si="0"/>
        <v>551</v>
      </c>
      <c r="M20" s="57" t="s">
        <v>265</v>
      </c>
      <c r="N20" s="66">
        <f t="shared" si="1"/>
        <v>365</v>
      </c>
    </row>
    <row r="21" spans="1:14" s="1" customFormat="1" ht="12.75">
      <c r="A21" s="5" t="s">
        <v>380</v>
      </c>
      <c r="B21" s="365" t="s">
        <v>281</v>
      </c>
      <c r="C21" s="14">
        <v>1964</v>
      </c>
      <c r="D21" s="3">
        <v>38055</v>
      </c>
      <c r="E21" s="3" t="s">
        <v>283</v>
      </c>
      <c r="F21" s="4">
        <v>92</v>
      </c>
      <c r="G21" s="4">
        <v>90</v>
      </c>
      <c r="H21" s="4">
        <v>86</v>
      </c>
      <c r="I21" s="4">
        <v>95</v>
      </c>
      <c r="J21" s="4">
        <v>91</v>
      </c>
      <c r="K21" s="4">
        <v>92</v>
      </c>
      <c r="L21" s="9">
        <f t="shared" si="0"/>
        <v>546</v>
      </c>
      <c r="M21" s="57" t="s">
        <v>266</v>
      </c>
      <c r="N21" s="66">
        <f t="shared" si="1"/>
        <v>363</v>
      </c>
    </row>
    <row r="22" spans="1:14" s="1" customFormat="1" ht="12.75">
      <c r="A22" s="5" t="s">
        <v>381</v>
      </c>
      <c r="B22" s="137" t="s">
        <v>51</v>
      </c>
      <c r="C22" s="109">
        <v>1940</v>
      </c>
      <c r="D22" s="4">
        <v>6943</v>
      </c>
      <c r="E22" s="12" t="s">
        <v>97</v>
      </c>
      <c r="F22" s="4">
        <v>86</v>
      </c>
      <c r="G22" s="4">
        <v>93</v>
      </c>
      <c r="H22" s="4">
        <v>94</v>
      </c>
      <c r="I22" s="4">
        <v>85</v>
      </c>
      <c r="J22" s="4">
        <v>84</v>
      </c>
      <c r="K22" s="4">
        <v>95</v>
      </c>
      <c r="L22" s="9">
        <f t="shared" si="0"/>
        <v>537</v>
      </c>
      <c r="M22" s="57" t="s">
        <v>266</v>
      </c>
      <c r="N22" s="66">
        <f t="shared" si="1"/>
        <v>358</v>
      </c>
    </row>
    <row r="23" spans="1:14" s="1" customFormat="1" ht="12.75">
      <c r="A23" s="5" t="s">
        <v>382</v>
      </c>
      <c r="B23" s="366" t="s">
        <v>344</v>
      </c>
      <c r="C23" s="369">
        <v>1975</v>
      </c>
      <c r="D23" s="4">
        <v>23672</v>
      </c>
      <c r="E23" s="4" t="s">
        <v>343</v>
      </c>
      <c r="F23" s="4">
        <v>90</v>
      </c>
      <c r="G23" s="4">
        <v>92</v>
      </c>
      <c r="H23" s="4">
        <v>86</v>
      </c>
      <c r="I23" s="4">
        <v>90</v>
      </c>
      <c r="J23" s="4">
        <v>88</v>
      </c>
      <c r="K23" s="4">
        <v>91</v>
      </c>
      <c r="L23" s="9">
        <f t="shared" si="0"/>
        <v>537</v>
      </c>
      <c r="M23" s="57" t="s">
        <v>265</v>
      </c>
      <c r="N23" s="66">
        <f t="shared" si="1"/>
        <v>358</v>
      </c>
    </row>
    <row r="24" spans="1:14" s="1" customFormat="1" ht="12.75">
      <c r="A24" s="5" t="s">
        <v>383</v>
      </c>
      <c r="B24" s="367" t="s">
        <v>297</v>
      </c>
      <c r="C24" s="109">
        <v>1969</v>
      </c>
      <c r="D24" s="4" t="s">
        <v>350</v>
      </c>
      <c r="E24" s="4" t="s">
        <v>351</v>
      </c>
      <c r="F24" s="4">
        <v>85</v>
      </c>
      <c r="G24" s="4">
        <v>85</v>
      </c>
      <c r="H24" s="4">
        <v>89</v>
      </c>
      <c r="I24" s="4">
        <v>88</v>
      </c>
      <c r="J24" s="4">
        <v>88</v>
      </c>
      <c r="K24" s="4">
        <v>97</v>
      </c>
      <c r="L24" s="9">
        <f t="shared" si="0"/>
        <v>532</v>
      </c>
      <c r="M24" s="57" t="s">
        <v>265</v>
      </c>
      <c r="N24" s="66">
        <f t="shared" si="1"/>
        <v>347</v>
      </c>
    </row>
    <row r="25" spans="1:14" s="1" customFormat="1" ht="12.75">
      <c r="A25" s="5" t="s">
        <v>384</v>
      </c>
      <c r="B25" s="137" t="s">
        <v>148</v>
      </c>
      <c r="C25" s="55">
        <v>1978</v>
      </c>
      <c r="D25" s="4" t="s">
        <v>353</v>
      </c>
      <c r="E25" s="4" t="s">
        <v>354</v>
      </c>
      <c r="F25" s="4">
        <v>86</v>
      </c>
      <c r="G25" s="4">
        <v>92</v>
      </c>
      <c r="H25" s="4">
        <v>85</v>
      </c>
      <c r="I25" s="4">
        <v>89</v>
      </c>
      <c r="J25" s="4">
        <v>88</v>
      </c>
      <c r="K25" s="4">
        <v>86</v>
      </c>
      <c r="L25" s="9">
        <f t="shared" si="0"/>
        <v>526</v>
      </c>
      <c r="M25" s="57" t="s">
        <v>265</v>
      </c>
      <c r="N25" s="66">
        <f>SUM(F25:I25)</f>
        <v>352</v>
      </c>
    </row>
    <row r="26" spans="1:14" s="1" customFormat="1" ht="12.75">
      <c r="A26" s="5" t="s">
        <v>385</v>
      </c>
      <c r="B26" s="137" t="s">
        <v>159</v>
      </c>
      <c r="C26" s="55">
        <v>1972</v>
      </c>
      <c r="D26" s="4">
        <v>37828</v>
      </c>
      <c r="E26" s="4" t="s">
        <v>152</v>
      </c>
      <c r="F26" s="4">
        <f>18+17+19+18+20</f>
        <v>92</v>
      </c>
      <c r="G26" s="4">
        <f>18+14+19+16+17</f>
        <v>84</v>
      </c>
      <c r="H26" s="4">
        <f>17+18+17+17+16</f>
        <v>85</v>
      </c>
      <c r="I26" s="4">
        <f>15+18+15+18+20</f>
        <v>86</v>
      </c>
      <c r="J26" s="4">
        <f>17+15+19+19+17</f>
        <v>87</v>
      </c>
      <c r="K26" s="4">
        <v>90</v>
      </c>
      <c r="L26" s="9">
        <f t="shared" si="0"/>
        <v>524</v>
      </c>
      <c r="M26" s="57"/>
      <c r="N26" s="66">
        <f>SUM(F26:I26)</f>
        <v>347</v>
      </c>
    </row>
    <row r="27" spans="1:14" s="1" customFormat="1" ht="12.75">
      <c r="A27" s="5">
        <v>13</v>
      </c>
      <c r="B27" s="367" t="s">
        <v>175</v>
      </c>
      <c r="C27" s="109">
        <v>1971</v>
      </c>
      <c r="D27" s="4" t="s">
        <v>340</v>
      </c>
      <c r="E27" s="4" t="s">
        <v>341</v>
      </c>
      <c r="F27" s="4">
        <v>88</v>
      </c>
      <c r="G27" s="4">
        <v>85</v>
      </c>
      <c r="H27" s="4">
        <v>83</v>
      </c>
      <c r="I27" s="4">
        <v>84</v>
      </c>
      <c r="J27" s="4">
        <v>93</v>
      </c>
      <c r="K27" s="4">
        <v>90</v>
      </c>
      <c r="L27" s="9">
        <f t="shared" si="0"/>
        <v>523</v>
      </c>
      <c r="M27" s="57" t="s">
        <v>265</v>
      </c>
      <c r="N27" s="66">
        <f t="shared" si="1"/>
        <v>340</v>
      </c>
    </row>
    <row r="28" spans="1:14" s="1" customFormat="1" ht="12.75">
      <c r="A28" s="5">
        <v>14</v>
      </c>
      <c r="B28" s="137" t="s">
        <v>141</v>
      </c>
      <c r="C28" s="55">
        <v>1949</v>
      </c>
      <c r="D28" s="4">
        <v>10640</v>
      </c>
      <c r="E28" s="3" t="s">
        <v>283</v>
      </c>
      <c r="F28" s="4">
        <v>86</v>
      </c>
      <c r="G28" s="4">
        <v>80</v>
      </c>
      <c r="H28" s="4">
        <v>88</v>
      </c>
      <c r="I28" s="4">
        <v>85</v>
      </c>
      <c r="J28" s="4">
        <v>93</v>
      </c>
      <c r="K28" s="4">
        <v>87</v>
      </c>
      <c r="L28" s="9">
        <f t="shared" si="0"/>
        <v>519</v>
      </c>
      <c r="M28" s="57" t="s">
        <v>266</v>
      </c>
      <c r="N28" s="66">
        <f t="shared" si="1"/>
        <v>339</v>
      </c>
    </row>
    <row r="29" spans="1:14" s="1" customFormat="1" ht="12.75">
      <c r="A29" s="5">
        <v>15</v>
      </c>
      <c r="B29" s="137" t="s">
        <v>57</v>
      </c>
      <c r="C29" s="55">
        <v>1952</v>
      </c>
      <c r="D29" s="8">
        <v>4052</v>
      </c>
      <c r="E29" s="4" t="s">
        <v>152</v>
      </c>
      <c r="F29" s="4">
        <v>91</v>
      </c>
      <c r="G29" s="4">
        <v>85</v>
      </c>
      <c r="H29" s="4">
        <v>86</v>
      </c>
      <c r="I29" s="4">
        <v>87</v>
      </c>
      <c r="J29" s="4">
        <v>90</v>
      </c>
      <c r="K29" s="4">
        <v>80</v>
      </c>
      <c r="L29" s="9">
        <f t="shared" si="0"/>
        <v>519</v>
      </c>
      <c r="M29" s="57" t="s">
        <v>266</v>
      </c>
      <c r="N29" s="66">
        <f t="shared" si="1"/>
        <v>349</v>
      </c>
    </row>
    <row r="30" spans="1:14" s="1" customFormat="1" ht="12.75">
      <c r="A30" s="5"/>
      <c r="B30" s="365"/>
      <c r="C30" s="109"/>
      <c r="D30" s="12"/>
      <c r="E30" s="3" t="s">
        <v>283</v>
      </c>
      <c r="F30" s="12"/>
      <c r="G30" s="12"/>
      <c r="H30" s="12"/>
      <c r="I30" s="12"/>
      <c r="J30" s="12"/>
      <c r="K30" s="12"/>
      <c r="L30" s="9"/>
      <c r="M30" s="57"/>
      <c r="N30" s="66"/>
    </row>
    <row r="31" spans="1:14" s="1" customFormat="1" ht="24.75" customHeight="1">
      <c r="A31" s="6" t="s">
        <v>21</v>
      </c>
      <c r="B31" s="83"/>
      <c r="C31" s="8"/>
      <c r="D31" s="8"/>
      <c r="E31" s="8"/>
      <c r="F31" s="7"/>
      <c r="G31" s="7"/>
      <c r="H31" s="7"/>
      <c r="I31" s="7"/>
      <c r="J31" s="7"/>
      <c r="K31" s="7"/>
      <c r="L31" s="7"/>
      <c r="M31" s="58"/>
      <c r="N31" s="66"/>
    </row>
    <row r="32" spans="1:14" s="1" customFormat="1" ht="25.5" customHeight="1">
      <c r="A32" s="2" t="s">
        <v>8</v>
      </c>
      <c r="B32" s="368"/>
      <c r="C32" s="18" t="s">
        <v>11</v>
      </c>
      <c r="D32" s="18" t="s">
        <v>12</v>
      </c>
      <c r="E32" s="18" t="s">
        <v>13</v>
      </c>
      <c r="F32" s="507" t="s">
        <v>14</v>
      </c>
      <c r="G32" s="507"/>
      <c r="H32" s="507" t="s">
        <v>15</v>
      </c>
      <c r="I32" s="507"/>
      <c r="J32" s="507" t="s">
        <v>16</v>
      </c>
      <c r="K32" s="507"/>
      <c r="L32" s="17" t="s">
        <v>10</v>
      </c>
      <c r="M32" s="59"/>
      <c r="N32" s="66"/>
    </row>
    <row r="33" spans="1:14" s="379" customFormat="1" ht="15">
      <c r="A33" s="384" t="s">
        <v>22</v>
      </c>
      <c r="B33" s="385" t="s">
        <v>364</v>
      </c>
      <c r="C33" s="386" t="s">
        <v>361</v>
      </c>
      <c r="D33" s="58" t="s">
        <v>362</v>
      </c>
      <c r="E33" s="57" t="s">
        <v>363</v>
      </c>
      <c r="F33" s="503">
        <v>377</v>
      </c>
      <c r="G33" s="503"/>
      <c r="H33" s="503">
        <v>374</v>
      </c>
      <c r="I33" s="503"/>
      <c r="J33" s="503">
        <v>358</v>
      </c>
      <c r="K33" s="503"/>
      <c r="L33" s="328">
        <f>SUM(F33:K33)</f>
        <v>1109</v>
      </c>
      <c r="M33" s="57"/>
      <c r="N33" s="330"/>
    </row>
    <row r="34" spans="1:14" s="379" customFormat="1" ht="15">
      <c r="A34" s="384" t="s">
        <v>23</v>
      </c>
      <c r="B34" s="387" t="s">
        <v>53</v>
      </c>
      <c r="C34" s="57" t="s">
        <v>365</v>
      </c>
      <c r="D34" s="57" t="s">
        <v>366</v>
      </c>
      <c r="E34" s="57" t="s">
        <v>367</v>
      </c>
      <c r="F34" s="503">
        <v>365</v>
      </c>
      <c r="G34" s="503"/>
      <c r="H34" s="503">
        <v>358</v>
      </c>
      <c r="I34" s="503"/>
      <c r="J34" s="503">
        <v>373</v>
      </c>
      <c r="K34" s="503"/>
      <c r="L34" s="328">
        <f>SUM(F34:K34)</f>
        <v>1096</v>
      </c>
      <c r="M34" s="57"/>
      <c r="N34" s="330"/>
    </row>
    <row r="35" spans="1:14" s="379" customFormat="1" ht="15">
      <c r="A35" s="384" t="s">
        <v>24</v>
      </c>
      <c r="B35" s="385" t="s">
        <v>60</v>
      </c>
      <c r="C35" s="386" t="s">
        <v>368</v>
      </c>
      <c r="D35" s="58" t="s">
        <v>369</v>
      </c>
      <c r="E35" s="57" t="s">
        <v>370</v>
      </c>
      <c r="F35" s="503">
        <v>349</v>
      </c>
      <c r="G35" s="503"/>
      <c r="H35" s="503">
        <v>347</v>
      </c>
      <c r="I35" s="503"/>
      <c r="J35" s="503">
        <v>333</v>
      </c>
      <c r="K35" s="503"/>
      <c r="L35" s="328">
        <f>SUM(F35:K35)</f>
        <v>1029</v>
      </c>
      <c r="M35" s="57"/>
      <c r="N35" s="330"/>
    </row>
    <row r="36" spans="1:14" s="1" customFormat="1" ht="15">
      <c r="A36" s="5" t="s">
        <v>25</v>
      </c>
      <c r="B36" s="145" t="s">
        <v>55</v>
      </c>
      <c r="C36" s="4" t="s">
        <v>372</v>
      </c>
      <c r="D36" s="4" t="s">
        <v>373</v>
      </c>
      <c r="E36" s="28"/>
      <c r="F36" s="504">
        <v>339</v>
      </c>
      <c r="G36" s="504"/>
      <c r="H36" s="504">
        <v>363</v>
      </c>
      <c r="I36" s="504"/>
      <c r="L36" s="9">
        <f>SUM(F36:K36)</f>
        <v>702</v>
      </c>
      <c r="M36" s="57"/>
      <c r="N36" s="66"/>
    </row>
    <row r="37" spans="1:14" s="1" customFormat="1" ht="15">
      <c r="A37" s="5" t="s">
        <v>26</v>
      </c>
      <c r="B37" s="145" t="s">
        <v>354</v>
      </c>
      <c r="C37" s="4" t="s">
        <v>374</v>
      </c>
      <c r="D37" s="4" t="s">
        <v>375</v>
      </c>
      <c r="E37" s="28"/>
      <c r="F37" s="504">
        <v>352</v>
      </c>
      <c r="G37" s="504"/>
      <c r="H37" s="504">
        <v>301</v>
      </c>
      <c r="I37" s="504"/>
      <c r="J37" s="504"/>
      <c r="K37" s="504"/>
      <c r="L37" s="9">
        <f>SUM(F37:K37)</f>
        <v>653</v>
      </c>
      <c r="M37" s="57"/>
      <c r="N37" s="66"/>
    </row>
    <row r="38" spans="3:14" s="1" customFormat="1" ht="12.75">
      <c r="C38" s="4"/>
      <c r="D38" s="4"/>
      <c r="E38" s="4"/>
      <c r="F38" s="504"/>
      <c r="G38" s="504"/>
      <c r="H38" s="504"/>
      <c r="I38" s="504"/>
      <c r="J38" s="504"/>
      <c r="K38" s="504"/>
      <c r="L38" s="9"/>
      <c r="M38" s="57"/>
      <c r="N38" s="66"/>
    </row>
    <row r="39" spans="3:14" s="1" customFormat="1" ht="12.75">
      <c r="C39" s="4"/>
      <c r="D39" s="4"/>
      <c r="E39" s="28" t="s">
        <v>94</v>
      </c>
      <c r="F39" s="4"/>
      <c r="G39" s="4"/>
      <c r="H39" s="4"/>
      <c r="I39" s="4"/>
      <c r="J39" s="4"/>
      <c r="K39" s="4"/>
      <c r="L39" s="4"/>
      <c r="M39" s="57"/>
      <c r="N39" s="66"/>
    </row>
    <row r="40" spans="3:14" s="1" customFormat="1" ht="12.75">
      <c r="C40" s="4"/>
      <c r="D40" s="4"/>
      <c r="E40" s="28" t="s">
        <v>95</v>
      </c>
      <c r="F40" s="4"/>
      <c r="G40" s="4"/>
      <c r="H40" s="4"/>
      <c r="I40" s="4"/>
      <c r="J40" s="4"/>
      <c r="K40" s="4"/>
      <c r="L40" s="4"/>
      <c r="M40" s="57"/>
      <c r="N40" s="66"/>
    </row>
    <row r="41" spans="3:14" s="1" customFormat="1" ht="12.75">
      <c r="C41" s="4"/>
      <c r="D41" s="4"/>
      <c r="E41" s="4"/>
      <c r="F41" s="4"/>
      <c r="G41" s="4"/>
      <c r="H41" s="4"/>
      <c r="I41" s="4"/>
      <c r="J41" s="4"/>
      <c r="K41" s="4"/>
      <c r="L41" s="4"/>
      <c r="M41" s="57"/>
      <c r="N41" s="66"/>
    </row>
    <row r="42" spans="3:14" s="1" customFormat="1" ht="12.75">
      <c r="C42" s="4"/>
      <c r="D42" s="4"/>
      <c r="E42" s="4"/>
      <c r="F42" s="4"/>
      <c r="G42" s="4"/>
      <c r="H42" s="4"/>
      <c r="I42" s="4"/>
      <c r="J42" s="4"/>
      <c r="K42" s="4"/>
      <c r="L42" s="4"/>
      <c r="M42" s="57"/>
      <c r="N42" s="66"/>
    </row>
    <row r="43" spans="3:14" s="1" customFormat="1" ht="12.75">
      <c r="C43" s="4"/>
      <c r="D43" s="4"/>
      <c r="E43" s="4"/>
      <c r="F43" s="4"/>
      <c r="G43" s="4"/>
      <c r="H43" s="4"/>
      <c r="I43" s="4"/>
      <c r="J43" s="4"/>
      <c r="K43" s="4"/>
      <c r="L43" s="4"/>
      <c r="M43" s="57"/>
      <c r="N43" s="66"/>
    </row>
    <row r="44" spans="3:14" s="1" customFormat="1" ht="12.75">
      <c r="C44" s="4"/>
      <c r="D44" s="4"/>
      <c r="E44" s="4"/>
      <c r="F44" s="4"/>
      <c r="G44" s="4"/>
      <c r="H44" s="4"/>
      <c r="I44" s="4"/>
      <c r="J44" s="4"/>
      <c r="K44" s="4"/>
      <c r="L44" s="4"/>
      <c r="M44" s="57"/>
      <c r="N44" s="66"/>
    </row>
    <row r="45" spans="3:14" s="1" customFormat="1" ht="12.75">
      <c r="C45" s="4"/>
      <c r="D45" s="4"/>
      <c r="E45" s="4"/>
      <c r="F45" s="4"/>
      <c r="G45" s="4"/>
      <c r="H45" s="4"/>
      <c r="I45" s="4"/>
      <c r="J45" s="4"/>
      <c r="K45" s="4"/>
      <c r="L45" s="4"/>
      <c r="M45" s="57"/>
      <c r="N45" s="66"/>
    </row>
    <row r="46" spans="3:14" s="1" customFormat="1" ht="12.75">
      <c r="C46" s="4"/>
      <c r="D46" s="4"/>
      <c r="E46" s="4"/>
      <c r="F46" s="4"/>
      <c r="G46" s="4"/>
      <c r="H46" s="4"/>
      <c r="I46" s="4"/>
      <c r="J46" s="4"/>
      <c r="K46" s="4"/>
      <c r="L46" s="4"/>
      <c r="M46" s="57"/>
      <c r="N46" s="66"/>
    </row>
    <row r="47" spans="3:14" s="1" customFormat="1" ht="12.75">
      <c r="C47" s="4"/>
      <c r="D47" s="4"/>
      <c r="E47" s="4"/>
      <c r="F47" s="4"/>
      <c r="G47" s="4"/>
      <c r="H47" s="4"/>
      <c r="I47" s="4"/>
      <c r="J47" s="4"/>
      <c r="K47" s="4"/>
      <c r="L47" s="4"/>
      <c r="M47" s="57"/>
      <c r="N47" s="66"/>
    </row>
    <row r="48" spans="3:14" s="1" customFormat="1" ht="12.75">
      <c r="C48" s="4"/>
      <c r="D48" s="4"/>
      <c r="E48" s="4"/>
      <c r="F48" s="4"/>
      <c r="G48" s="4"/>
      <c r="H48" s="4"/>
      <c r="I48" s="4"/>
      <c r="J48" s="4"/>
      <c r="K48" s="4"/>
      <c r="L48" s="4"/>
      <c r="M48" s="57"/>
      <c r="N48" s="66"/>
    </row>
    <row r="49" spans="3:14" s="1" customFormat="1" ht="12.75">
      <c r="C49" s="4"/>
      <c r="D49" s="4"/>
      <c r="E49" s="4"/>
      <c r="F49" s="4"/>
      <c r="G49" s="4"/>
      <c r="H49" s="4"/>
      <c r="I49" s="4"/>
      <c r="J49" s="4"/>
      <c r="K49" s="4"/>
      <c r="L49" s="4"/>
      <c r="M49" s="57"/>
      <c r="N49" s="66"/>
    </row>
    <row r="50" spans="3:14" s="1" customFormat="1" ht="12.75">
      <c r="C50" s="4"/>
      <c r="D50" s="4"/>
      <c r="E50" s="4"/>
      <c r="F50" s="4"/>
      <c r="G50" s="4"/>
      <c r="H50" s="4"/>
      <c r="I50" s="4"/>
      <c r="J50" s="4"/>
      <c r="K50" s="4"/>
      <c r="L50" s="4"/>
      <c r="M50" s="57"/>
      <c r="N50" s="66"/>
    </row>
    <row r="51" spans="3:14" s="1" customFormat="1" ht="12.75">
      <c r="C51" s="4"/>
      <c r="D51" s="4"/>
      <c r="E51" s="4"/>
      <c r="F51" s="4"/>
      <c r="G51" s="4"/>
      <c r="H51" s="4"/>
      <c r="I51" s="4"/>
      <c r="J51" s="4"/>
      <c r="K51" s="4"/>
      <c r="L51" s="4"/>
      <c r="M51" s="57"/>
      <c r="N51" s="66"/>
    </row>
    <row r="52" spans="3:14" s="1" customFormat="1" ht="12.75">
      <c r="C52" s="4"/>
      <c r="D52" s="4"/>
      <c r="E52" s="4"/>
      <c r="F52" s="4"/>
      <c r="G52" s="4"/>
      <c r="H52" s="4"/>
      <c r="I52" s="4"/>
      <c r="J52" s="4"/>
      <c r="K52" s="4"/>
      <c r="L52" s="4"/>
      <c r="M52" s="57"/>
      <c r="N52" s="66"/>
    </row>
    <row r="53" spans="3:14" s="1" customFormat="1" ht="12.75">
      <c r="C53" s="4"/>
      <c r="D53" s="4"/>
      <c r="E53" s="4"/>
      <c r="F53" s="4"/>
      <c r="G53" s="4"/>
      <c r="H53" s="4"/>
      <c r="I53" s="4"/>
      <c r="J53" s="4"/>
      <c r="K53" s="4"/>
      <c r="L53" s="4"/>
      <c r="M53" s="57"/>
      <c r="N53" s="66"/>
    </row>
    <row r="54" spans="3:14" s="1" customFormat="1" ht="12.75">
      <c r="C54" s="4"/>
      <c r="D54" s="4"/>
      <c r="E54" s="4"/>
      <c r="F54" s="4"/>
      <c r="G54" s="4"/>
      <c r="H54" s="4"/>
      <c r="I54" s="4"/>
      <c r="J54" s="4"/>
      <c r="K54" s="4"/>
      <c r="L54" s="4"/>
      <c r="M54" s="57"/>
      <c r="N54" s="66"/>
    </row>
    <row r="55" spans="3:14" s="1" customFormat="1" ht="12.75">
      <c r="C55" s="4"/>
      <c r="D55" s="4"/>
      <c r="E55" s="4"/>
      <c r="F55" s="4"/>
      <c r="G55" s="4"/>
      <c r="H55" s="4"/>
      <c r="I55" s="4"/>
      <c r="J55" s="4"/>
      <c r="K55" s="4"/>
      <c r="L55" s="4"/>
      <c r="M55" s="57"/>
      <c r="N55" s="66"/>
    </row>
    <row r="56" spans="3:14" s="1" customFormat="1" ht="12.75">
      <c r="C56" s="4"/>
      <c r="D56" s="4"/>
      <c r="E56" s="4"/>
      <c r="F56" s="4"/>
      <c r="G56" s="4"/>
      <c r="H56" s="4"/>
      <c r="I56" s="4"/>
      <c r="J56" s="4"/>
      <c r="K56" s="4"/>
      <c r="L56" s="4"/>
      <c r="M56" s="57"/>
      <c r="N56" s="66"/>
    </row>
    <row r="57" spans="3:14" s="1" customFormat="1" ht="12.75">
      <c r="C57" s="4"/>
      <c r="D57" s="4"/>
      <c r="E57" s="4"/>
      <c r="F57" s="4"/>
      <c r="G57" s="4"/>
      <c r="H57" s="4"/>
      <c r="I57" s="4"/>
      <c r="J57" s="4"/>
      <c r="K57" s="4"/>
      <c r="L57" s="4"/>
      <c r="M57" s="57"/>
      <c r="N57" s="66"/>
    </row>
    <row r="58" spans="3:14" s="1" customFormat="1" ht="12.75">
      <c r="C58" s="4"/>
      <c r="D58" s="4"/>
      <c r="E58" s="4"/>
      <c r="F58" s="4"/>
      <c r="G58" s="4"/>
      <c r="H58" s="4"/>
      <c r="I58" s="4"/>
      <c r="J58" s="4"/>
      <c r="K58" s="4"/>
      <c r="L58" s="4"/>
      <c r="M58" s="57"/>
      <c r="N58" s="66"/>
    </row>
    <row r="59" spans="3:14" s="1" customFormat="1" ht="12.75">
      <c r="C59" s="4"/>
      <c r="D59" s="4"/>
      <c r="E59" s="4"/>
      <c r="F59" s="4"/>
      <c r="G59" s="4"/>
      <c r="H59" s="4"/>
      <c r="I59" s="4"/>
      <c r="J59" s="4"/>
      <c r="K59" s="4"/>
      <c r="L59" s="4"/>
      <c r="M59" s="57"/>
      <c r="N59" s="66"/>
    </row>
    <row r="60" spans="3:14" s="1" customFormat="1" ht="12.75">
      <c r="C60" s="4"/>
      <c r="D60" s="4"/>
      <c r="E60" s="4"/>
      <c r="F60" s="4"/>
      <c r="G60" s="4"/>
      <c r="H60" s="4"/>
      <c r="I60" s="4"/>
      <c r="J60" s="4"/>
      <c r="K60" s="4"/>
      <c r="L60" s="4"/>
      <c r="M60" s="57"/>
      <c r="N60" s="66"/>
    </row>
    <row r="61" spans="3:14" s="1" customFormat="1" ht="12.75">
      <c r="C61" s="4"/>
      <c r="D61" s="4"/>
      <c r="E61" s="4"/>
      <c r="F61" s="4"/>
      <c r="G61" s="4"/>
      <c r="H61" s="4"/>
      <c r="I61" s="4"/>
      <c r="J61" s="4"/>
      <c r="K61" s="4"/>
      <c r="L61" s="4"/>
      <c r="M61" s="57"/>
      <c r="N61" s="66"/>
    </row>
    <row r="62" spans="3:14" s="1" customFormat="1" ht="12.75">
      <c r="C62" s="4"/>
      <c r="D62" s="4"/>
      <c r="E62" s="4"/>
      <c r="F62" s="4"/>
      <c r="G62" s="4"/>
      <c r="H62" s="4"/>
      <c r="I62" s="4"/>
      <c r="J62" s="4"/>
      <c r="K62" s="4"/>
      <c r="L62" s="4"/>
      <c r="M62" s="57"/>
      <c r="N62" s="66"/>
    </row>
    <row r="63" spans="3:14" s="1" customFormat="1" ht="12.75">
      <c r="C63" s="4"/>
      <c r="D63" s="4"/>
      <c r="E63" s="4"/>
      <c r="F63" s="4"/>
      <c r="G63" s="4"/>
      <c r="H63" s="4"/>
      <c r="I63" s="4"/>
      <c r="J63" s="4"/>
      <c r="K63" s="4"/>
      <c r="L63" s="4"/>
      <c r="M63" s="57"/>
      <c r="N63" s="66"/>
    </row>
    <row r="64" spans="3:14" s="1" customFormat="1" ht="12.75">
      <c r="C64" s="4"/>
      <c r="D64" s="4"/>
      <c r="E64" s="4"/>
      <c r="F64" s="4"/>
      <c r="G64" s="4"/>
      <c r="H64" s="4"/>
      <c r="I64" s="4"/>
      <c r="J64" s="4"/>
      <c r="K64" s="4"/>
      <c r="L64" s="4"/>
      <c r="M64" s="57"/>
      <c r="N64" s="66"/>
    </row>
    <row r="65" spans="3:14" s="1" customFormat="1" ht="12.75">
      <c r="C65" s="4"/>
      <c r="D65" s="4"/>
      <c r="E65" s="4"/>
      <c r="F65" s="4"/>
      <c r="G65" s="4"/>
      <c r="H65" s="4"/>
      <c r="I65" s="4"/>
      <c r="J65" s="4"/>
      <c r="K65" s="4"/>
      <c r="L65" s="4"/>
      <c r="M65" s="57"/>
      <c r="N65" s="66"/>
    </row>
    <row r="66" spans="3:14" s="1" customFormat="1" ht="12.75">
      <c r="C66" s="4"/>
      <c r="D66" s="4"/>
      <c r="E66" s="4"/>
      <c r="F66" s="4"/>
      <c r="G66" s="4"/>
      <c r="H66" s="4"/>
      <c r="I66" s="4"/>
      <c r="J66" s="4"/>
      <c r="K66" s="4"/>
      <c r="L66" s="4"/>
      <c r="M66" s="57"/>
      <c r="N66" s="66"/>
    </row>
    <row r="67" spans="3:14" s="1" customFormat="1" ht="12.75">
      <c r="C67" s="4"/>
      <c r="D67" s="4"/>
      <c r="E67" s="4"/>
      <c r="F67" s="4"/>
      <c r="G67" s="4"/>
      <c r="H67" s="4"/>
      <c r="I67" s="4"/>
      <c r="J67" s="4"/>
      <c r="K67" s="4"/>
      <c r="L67" s="4"/>
      <c r="M67" s="57"/>
      <c r="N67" s="66"/>
    </row>
    <row r="68" spans="3:14" s="1" customFormat="1" ht="12.75">
      <c r="C68" s="4"/>
      <c r="D68" s="4"/>
      <c r="E68" s="4"/>
      <c r="F68" s="4"/>
      <c r="G68" s="4"/>
      <c r="H68" s="4"/>
      <c r="I68" s="4"/>
      <c r="J68" s="4"/>
      <c r="K68" s="4"/>
      <c r="L68" s="4"/>
      <c r="M68" s="57"/>
      <c r="N68" s="66"/>
    </row>
    <row r="69" spans="3:14" s="1" customFormat="1" ht="12.75">
      <c r="C69" s="4"/>
      <c r="D69" s="4"/>
      <c r="E69" s="4"/>
      <c r="F69" s="4"/>
      <c r="G69" s="4"/>
      <c r="H69" s="4"/>
      <c r="I69" s="4"/>
      <c r="J69" s="4"/>
      <c r="K69" s="4"/>
      <c r="L69" s="4"/>
      <c r="M69" s="57"/>
      <c r="N69" s="66"/>
    </row>
    <row r="70" spans="3:14" s="1" customFormat="1" ht="12.75">
      <c r="C70" s="4"/>
      <c r="D70" s="4"/>
      <c r="E70" s="4"/>
      <c r="F70" s="4"/>
      <c r="G70" s="4"/>
      <c r="H70" s="4"/>
      <c r="I70" s="4"/>
      <c r="J70" s="4"/>
      <c r="K70" s="4"/>
      <c r="L70" s="4"/>
      <c r="M70" s="57"/>
      <c r="N70" s="66"/>
    </row>
    <row r="71" spans="3:14" s="1" customFormat="1" ht="12.75">
      <c r="C71" s="4"/>
      <c r="D71" s="4"/>
      <c r="E71" s="4"/>
      <c r="F71" s="4"/>
      <c r="G71" s="4"/>
      <c r="H71" s="4"/>
      <c r="I71" s="4"/>
      <c r="J71" s="4"/>
      <c r="K71" s="4"/>
      <c r="L71" s="4"/>
      <c r="M71" s="57"/>
      <c r="N71" s="66"/>
    </row>
    <row r="72" spans="3:14" s="1" customFormat="1" ht="12.75">
      <c r="C72" s="4"/>
      <c r="D72" s="4"/>
      <c r="E72" s="4"/>
      <c r="F72" s="4"/>
      <c r="G72" s="4"/>
      <c r="H72" s="4"/>
      <c r="I72" s="4"/>
      <c r="J72" s="4"/>
      <c r="K72" s="4"/>
      <c r="L72" s="4"/>
      <c r="M72" s="57"/>
      <c r="N72" s="66"/>
    </row>
    <row r="73" spans="3:14" s="1" customFormat="1" ht="12.75">
      <c r="C73" s="4"/>
      <c r="D73" s="4"/>
      <c r="E73" s="4"/>
      <c r="F73" s="4"/>
      <c r="G73" s="4"/>
      <c r="H73" s="4"/>
      <c r="I73" s="4"/>
      <c r="J73" s="4"/>
      <c r="K73" s="4"/>
      <c r="L73" s="4"/>
      <c r="M73" s="57"/>
      <c r="N73" s="66"/>
    </row>
    <row r="74" spans="3:14" s="1" customFormat="1" ht="12.75">
      <c r="C74" s="4"/>
      <c r="D74" s="4"/>
      <c r="E74" s="4"/>
      <c r="F74" s="4"/>
      <c r="G74" s="4"/>
      <c r="H74" s="4"/>
      <c r="I74" s="4"/>
      <c r="J74" s="4"/>
      <c r="K74" s="4"/>
      <c r="L74" s="4"/>
      <c r="M74" s="57"/>
      <c r="N74" s="66"/>
    </row>
    <row r="75" spans="3:14" s="1" customFormat="1" ht="12.75">
      <c r="C75" s="4"/>
      <c r="D75" s="4"/>
      <c r="E75" s="4"/>
      <c r="F75" s="4"/>
      <c r="G75" s="4"/>
      <c r="H75" s="4"/>
      <c r="I75" s="4"/>
      <c r="J75" s="4"/>
      <c r="K75" s="4"/>
      <c r="L75" s="4"/>
      <c r="M75" s="57"/>
      <c r="N75" s="66"/>
    </row>
    <row r="76" spans="3:14" s="1" customFormat="1" ht="12.75">
      <c r="C76" s="4"/>
      <c r="D76" s="4"/>
      <c r="E76" s="4"/>
      <c r="F76" s="4"/>
      <c r="G76" s="4"/>
      <c r="H76" s="4"/>
      <c r="I76" s="4"/>
      <c r="J76" s="4"/>
      <c r="K76" s="4"/>
      <c r="L76" s="4"/>
      <c r="M76" s="57"/>
      <c r="N76" s="66"/>
    </row>
    <row r="77" spans="3:14" s="1" customFormat="1" ht="12.75">
      <c r="C77" s="4"/>
      <c r="D77" s="4"/>
      <c r="E77" s="4"/>
      <c r="F77" s="4"/>
      <c r="G77" s="4"/>
      <c r="H77" s="4"/>
      <c r="I77" s="4"/>
      <c r="J77" s="4"/>
      <c r="K77" s="4"/>
      <c r="L77" s="4"/>
      <c r="M77" s="57"/>
      <c r="N77" s="66"/>
    </row>
    <row r="78" spans="3:14" s="1" customFormat="1" ht="12.75">
      <c r="C78" s="4"/>
      <c r="D78" s="4"/>
      <c r="E78" s="4"/>
      <c r="F78" s="4"/>
      <c r="G78" s="4"/>
      <c r="H78" s="4"/>
      <c r="I78" s="4"/>
      <c r="J78" s="4"/>
      <c r="K78" s="4"/>
      <c r="L78" s="4"/>
      <c r="M78" s="57"/>
      <c r="N78" s="66"/>
    </row>
    <row r="79" spans="3:14" s="1" customFormat="1" ht="12.75">
      <c r="C79" s="4"/>
      <c r="D79" s="4"/>
      <c r="E79" s="4"/>
      <c r="F79" s="4"/>
      <c r="G79" s="4"/>
      <c r="H79" s="4"/>
      <c r="I79" s="4"/>
      <c r="J79" s="4"/>
      <c r="K79" s="4"/>
      <c r="L79" s="4"/>
      <c r="M79" s="57"/>
      <c r="N79" s="66"/>
    </row>
    <row r="80" spans="3:14" s="1" customFormat="1" ht="12.75">
      <c r="C80" s="4"/>
      <c r="D80" s="4"/>
      <c r="E80" s="4"/>
      <c r="F80" s="4"/>
      <c r="G80" s="4"/>
      <c r="H80" s="4"/>
      <c r="I80" s="4"/>
      <c r="J80" s="4"/>
      <c r="K80" s="4"/>
      <c r="L80" s="4"/>
      <c r="M80" s="57"/>
      <c r="N80" s="66"/>
    </row>
    <row r="81" spans="3:14" s="1" customFormat="1" ht="12.75">
      <c r="C81" s="4"/>
      <c r="D81" s="4"/>
      <c r="E81" s="4"/>
      <c r="F81" s="4"/>
      <c r="G81" s="4"/>
      <c r="H81" s="4"/>
      <c r="I81" s="4"/>
      <c r="J81" s="4"/>
      <c r="K81" s="4"/>
      <c r="L81" s="4"/>
      <c r="M81" s="57"/>
      <c r="N81" s="66"/>
    </row>
    <row r="82" spans="3:14" s="1" customFormat="1" ht="12.75">
      <c r="C82" s="4"/>
      <c r="D82" s="4"/>
      <c r="E82" s="4"/>
      <c r="F82" s="4"/>
      <c r="G82" s="4"/>
      <c r="H82" s="4"/>
      <c r="I82" s="4"/>
      <c r="J82" s="4"/>
      <c r="K82" s="4"/>
      <c r="L82" s="4"/>
      <c r="M82" s="57"/>
      <c r="N82" s="66"/>
    </row>
    <row r="83" spans="3:14" s="1" customFormat="1" ht="12.75">
      <c r="C83" s="4"/>
      <c r="D83" s="4"/>
      <c r="E83" s="4"/>
      <c r="F83" s="4"/>
      <c r="G83" s="4"/>
      <c r="H83" s="4"/>
      <c r="I83" s="4"/>
      <c r="J83" s="4"/>
      <c r="K83" s="4"/>
      <c r="L83" s="4"/>
      <c r="M83" s="57"/>
      <c r="N83" s="66"/>
    </row>
    <row r="84" spans="3:14" s="1" customFormat="1" ht="12.75">
      <c r="C84" s="4"/>
      <c r="D84" s="4"/>
      <c r="E84" s="4"/>
      <c r="F84" s="4"/>
      <c r="G84" s="4"/>
      <c r="H84" s="4"/>
      <c r="I84" s="4"/>
      <c r="J84" s="4"/>
      <c r="K84" s="4"/>
      <c r="L84" s="4"/>
      <c r="M84" s="57"/>
      <c r="N84" s="66"/>
    </row>
    <row r="85" spans="3:14" s="1" customFormat="1" ht="12.75">
      <c r="C85" s="4"/>
      <c r="D85" s="4"/>
      <c r="E85" s="4"/>
      <c r="F85" s="4"/>
      <c r="G85" s="4"/>
      <c r="H85" s="4"/>
      <c r="I85" s="4"/>
      <c r="J85" s="4"/>
      <c r="K85" s="4"/>
      <c r="L85" s="4"/>
      <c r="M85" s="57"/>
      <c r="N85" s="66"/>
    </row>
    <row r="86" spans="3:14" s="1" customFormat="1" ht="12.75">
      <c r="C86" s="4"/>
      <c r="D86" s="4"/>
      <c r="E86" s="4"/>
      <c r="F86" s="4"/>
      <c r="G86" s="4"/>
      <c r="H86" s="4"/>
      <c r="I86" s="4"/>
      <c r="J86" s="4"/>
      <c r="K86" s="4"/>
      <c r="L86" s="4"/>
      <c r="M86" s="57"/>
      <c r="N86" s="66"/>
    </row>
    <row r="87" spans="3:14" s="1" customFormat="1" ht="12.75">
      <c r="C87" s="4"/>
      <c r="D87" s="4"/>
      <c r="E87" s="4"/>
      <c r="F87" s="4"/>
      <c r="G87" s="4"/>
      <c r="H87" s="4"/>
      <c r="I87" s="4"/>
      <c r="J87" s="4"/>
      <c r="K87" s="4"/>
      <c r="L87" s="4"/>
      <c r="M87" s="57"/>
      <c r="N87" s="66"/>
    </row>
    <row r="88" spans="3:14" s="1" customFormat="1" ht="12.75">
      <c r="C88" s="4"/>
      <c r="D88" s="4"/>
      <c r="E88" s="4"/>
      <c r="F88" s="4"/>
      <c r="G88" s="4"/>
      <c r="H88" s="4"/>
      <c r="I88" s="4"/>
      <c r="J88" s="4"/>
      <c r="K88" s="4"/>
      <c r="L88" s="4"/>
      <c r="M88" s="57"/>
      <c r="N88" s="66"/>
    </row>
    <row r="89" spans="3:14" s="1" customFormat="1" ht="12.75">
      <c r="C89" s="4"/>
      <c r="D89" s="4"/>
      <c r="E89" s="4"/>
      <c r="F89" s="4"/>
      <c r="G89" s="4"/>
      <c r="H89" s="4"/>
      <c r="I89" s="4"/>
      <c r="J89" s="4"/>
      <c r="K89" s="4"/>
      <c r="L89" s="4"/>
      <c r="M89" s="57"/>
      <c r="N89" s="66"/>
    </row>
    <row r="90" spans="3:14" s="1" customFormat="1" ht="12.75">
      <c r="C90" s="4"/>
      <c r="D90" s="4"/>
      <c r="E90" s="4"/>
      <c r="F90" s="4"/>
      <c r="G90" s="4"/>
      <c r="H90" s="4"/>
      <c r="I90" s="4"/>
      <c r="J90" s="4"/>
      <c r="K90" s="4"/>
      <c r="L90" s="4"/>
      <c r="M90" s="57"/>
      <c r="N90" s="66"/>
    </row>
    <row r="91" spans="3:14" s="1" customFormat="1" ht="12.75">
      <c r="C91" s="4"/>
      <c r="D91" s="4"/>
      <c r="E91" s="4"/>
      <c r="F91" s="4"/>
      <c r="G91" s="4"/>
      <c r="H91" s="4"/>
      <c r="I91" s="4"/>
      <c r="J91" s="4"/>
      <c r="K91" s="4"/>
      <c r="L91" s="4"/>
      <c r="M91" s="57"/>
      <c r="N91" s="66"/>
    </row>
    <row r="92" spans="3:14" s="1" customFormat="1" ht="12.75">
      <c r="C92" s="4"/>
      <c r="D92" s="4"/>
      <c r="E92" s="4"/>
      <c r="F92" s="4"/>
      <c r="G92" s="4"/>
      <c r="H92" s="4"/>
      <c r="I92" s="4"/>
      <c r="J92" s="4"/>
      <c r="K92" s="4"/>
      <c r="L92" s="4"/>
      <c r="M92" s="57"/>
      <c r="N92" s="66"/>
    </row>
    <row r="93" spans="3:14" s="1" customFormat="1" ht="12.75">
      <c r="C93" s="4"/>
      <c r="D93" s="4"/>
      <c r="E93" s="4"/>
      <c r="F93" s="4"/>
      <c r="G93" s="4"/>
      <c r="H93" s="4"/>
      <c r="I93" s="4"/>
      <c r="J93" s="4"/>
      <c r="K93" s="4"/>
      <c r="L93" s="4"/>
      <c r="M93" s="57"/>
      <c r="N93" s="66"/>
    </row>
    <row r="94" spans="3:14" s="1" customFormat="1" ht="12.75">
      <c r="C94" s="4"/>
      <c r="D94" s="4"/>
      <c r="E94" s="4"/>
      <c r="F94" s="4"/>
      <c r="G94" s="4"/>
      <c r="H94" s="4"/>
      <c r="I94" s="4"/>
      <c r="J94" s="4"/>
      <c r="K94" s="4"/>
      <c r="L94" s="4"/>
      <c r="M94" s="57"/>
      <c r="N94" s="66"/>
    </row>
    <row r="95" spans="3:14" s="1" customFormat="1" ht="12.75">
      <c r="C95" s="4"/>
      <c r="D95" s="4"/>
      <c r="E95" s="4"/>
      <c r="F95" s="4"/>
      <c r="G95" s="4"/>
      <c r="H95" s="4"/>
      <c r="I95" s="4"/>
      <c r="J95" s="4"/>
      <c r="K95" s="4"/>
      <c r="L95" s="4"/>
      <c r="M95" s="57"/>
      <c r="N95" s="66"/>
    </row>
    <row r="96" spans="3:14" s="1" customFormat="1" ht="12.75">
      <c r="C96" s="4"/>
      <c r="D96" s="4"/>
      <c r="E96" s="4"/>
      <c r="F96" s="4"/>
      <c r="G96" s="4"/>
      <c r="H96" s="4"/>
      <c r="I96" s="4"/>
      <c r="J96" s="4"/>
      <c r="K96" s="4"/>
      <c r="L96" s="4"/>
      <c r="M96" s="57"/>
      <c r="N96" s="66"/>
    </row>
    <row r="97" spans="3:14" s="1" customFormat="1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57"/>
      <c r="N97" s="66"/>
    </row>
    <row r="98" spans="3:14" s="1" customFormat="1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57"/>
      <c r="N98" s="66"/>
    </row>
    <row r="99" spans="3:14" s="1" customFormat="1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57"/>
      <c r="N99" s="66"/>
    </row>
    <row r="100" spans="3:14" s="1" customFormat="1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7"/>
      <c r="N100" s="66"/>
    </row>
    <row r="101" spans="3:14" s="1" customFormat="1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57"/>
      <c r="N101" s="66"/>
    </row>
    <row r="102" spans="3:14" s="1" customFormat="1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57"/>
      <c r="N102" s="66"/>
    </row>
    <row r="103" spans="3:14" s="1" customFormat="1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57"/>
      <c r="N103" s="66"/>
    </row>
    <row r="104" spans="3:14" s="1" customFormat="1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57"/>
      <c r="N104" s="66"/>
    </row>
    <row r="105" spans="3:14" s="1" customFormat="1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57"/>
      <c r="N105" s="66"/>
    </row>
    <row r="106" spans="3:14" s="1" customFormat="1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57"/>
      <c r="N106" s="66"/>
    </row>
    <row r="107" spans="3:14" s="1" customFormat="1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57"/>
      <c r="N107" s="66"/>
    </row>
    <row r="108" spans="3:14" s="1" customFormat="1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57"/>
      <c r="N108" s="66"/>
    </row>
    <row r="109" spans="3:14" s="1" customFormat="1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57"/>
      <c r="N109" s="66"/>
    </row>
    <row r="110" spans="3:14" s="1" customFormat="1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57"/>
      <c r="N110" s="66"/>
    </row>
    <row r="111" spans="3:14" s="1" customFormat="1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57"/>
      <c r="N111" s="66"/>
    </row>
    <row r="112" spans="3:14" s="1" customFormat="1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57"/>
      <c r="N112" s="66"/>
    </row>
    <row r="113" spans="3:14" s="1" customFormat="1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57"/>
      <c r="N113" s="66"/>
    </row>
    <row r="114" spans="3:14" s="1" customFormat="1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57"/>
      <c r="N114" s="66"/>
    </row>
    <row r="115" spans="3:14" s="1" customFormat="1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57"/>
      <c r="N115" s="66"/>
    </row>
    <row r="116" spans="3:14" s="1" customFormat="1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57"/>
      <c r="N116" s="66"/>
    </row>
    <row r="117" spans="3:14" s="1" customFormat="1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57"/>
      <c r="N117" s="66"/>
    </row>
    <row r="118" spans="3:14" s="1" customFormat="1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57"/>
      <c r="N118" s="66"/>
    </row>
    <row r="119" spans="3:14" s="1" customFormat="1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57"/>
      <c r="N119" s="66"/>
    </row>
    <row r="120" spans="3:14" s="1" customFormat="1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57"/>
      <c r="N120" s="66"/>
    </row>
    <row r="121" spans="3:14" s="1" customFormat="1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57"/>
      <c r="N121" s="66"/>
    </row>
    <row r="122" spans="3:14" s="1" customFormat="1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57"/>
      <c r="N122" s="66"/>
    </row>
    <row r="123" spans="3:14" s="1" customFormat="1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57"/>
      <c r="N123" s="66"/>
    </row>
    <row r="124" spans="3:14" s="1" customFormat="1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57"/>
      <c r="N124" s="66"/>
    </row>
    <row r="125" spans="3:14" s="1" customFormat="1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57"/>
      <c r="N125" s="66"/>
    </row>
    <row r="126" spans="3:14" s="1" customFormat="1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57"/>
      <c r="N126" s="66"/>
    </row>
    <row r="127" spans="3:14" s="1" customFormat="1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57"/>
      <c r="N127" s="66"/>
    </row>
    <row r="128" spans="3:14" s="1" customFormat="1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57"/>
      <c r="N128" s="66"/>
    </row>
    <row r="129" spans="3:14" s="1" customFormat="1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57"/>
      <c r="N129" s="66"/>
    </row>
    <row r="130" spans="3:14" s="1" customFormat="1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57"/>
      <c r="N130" s="66"/>
    </row>
    <row r="131" spans="3:14" s="1" customFormat="1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57"/>
      <c r="N131" s="66"/>
    </row>
    <row r="132" spans="3:14" s="1" customFormat="1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57"/>
      <c r="N132" s="66"/>
    </row>
    <row r="133" spans="3:14" s="1" customFormat="1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57"/>
      <c r="N133" s="66"/>
    </row>
    <row r="134" spans="3:14" s="1" customFormat="1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57"/>
      <c r="N134" s="66"/>
    </row>
    <row r="135" spans="3:14" s="1" customFormat="1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57"/>
      <c r="N135" s="66"/>
    </row>
    <row r="136" spans="3:14" s="1" customFormat="1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57"/>
      <c r="N136" s="66"/>
    </row>
    <row r="137" spans="3:14" s="1" customFormat="1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57"/>
      <c r="N137" s="66"/>
    </row>
    <row r="138" spans="3:14" s="1" customFormat="1" ht="12.7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57"/>
      <c r="N138" s="66"/>
    </row>
    <row r="139" spans="3:14" s="1" customFormat="1" ht="12.7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57"/>
      <c r="N139" s="66"/>
    </row>
    <row r="140" spans="3:14" s="1" customFormat="1" ht="12.7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57"/>
      <c r="N140" s="66"/>
    </row>
  </sheetData>
  <sheetProtection/>
  <mergeCells count="22">
    <mergeCell ref="A1:M1"/>
    <mergeCell ref="C4:D4"/>
    <mergeCell ref="F32:G32"/>
    <mergeCell ref="H32:I32"/>
    <mergeCell ref="J32:K32"/>
    <mergeCell ref="F38:G38"/>
    <mergeCell ref="H38:I38"/>
    <mergeCell ref="J38:K38"/>
    <mergeCell ref="F36:G36"/>
    <mergeCell ref="H36:I36"/>
    <mergeCell ref="F37:G37"/>
    <mergeCell ref="H37:I37"/>
    <mergeCell ref="J37:K37"/>
    <mergeCell ref="J34:K34"/>
    <mergeCell ref="F33:G33"/>
    <mergeCell ref="H33:I33"/>
    <mergeCell ref="F35:G35"/>
    <mergeCell ref="J35:K35"/>
    <mergeCell ref="F34:G34"/>
    <mergeCell ref="J33:K33"/>
    <mergeCell ref="H35:I35"/>
    <mergeCell ref="H34:I34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O132"/>
  <sheetViews>
    <sheetView zoomScale="80" zoomScaleNormal="80" zoomScalePageLayoutView="0" workbookViewId="0" topLeftCell="A16">
      <selection activeCell="O14" sqref="O14"/>
    </sheetView>
  </sheetViews>
  <sheetFormatPr defaultColWidth="9.140625" defaultRowHeight="12.75"/>
  <cols>
    <col min="1" max="1" width="7.00390625" style="0" customWidth="1"/>
    <col min="2" max="2" width="21.57421875" style="0" customWidth="1"/>
    <col min="3" max="5" width="17.7109375" style="3" customWidth="1"/>
    <col min="6" max="11" width="4.7109375" style="3" customWidth="1"/>
    <col min="12" max="12" width="8.7109375" style="3" customWidth="1"/>
    <col min="13" max="13" width="5.28125" style="50" customWidth="1"/>
    <col min="14" max="14" width="9.140625" style="76" customWidth="1"/>
  </cols>
  <sheetData>
    <row r="1" spans="1:13" ht="16.5" customHeight="1">
      <c r="A1" s="505" t="s">
        <v>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</row>
    <row r="2" spans="1:13" ht="30" customHeight="1">
      <c r="A2" s="23"/>
      <c r="B2" s="24"/>
      <c r="C2" s="25"/>
      <c r="D2" s="26" t="s">
        <v>18</v>
      </c>
      <c r="E2" s="25"/>
      <c r="F2" s="24"/>
      <c r="G2" s="24"/>
      <c r="H2" s="24"/>
      <c r="I2" s="24"/>
      <c r="J2" s="24"/>
      <c r="K2" s="24"/>
      <c r="L2" s="24"/>
      <c r="M2" s="444"/>
    </row>
    <row r="3" spans="1:8" ht="16.5" customHeight="1">
      <c r="A3" s="10" t="s">
        <v>30</v>
      </c>
      <c r="B3" s="11" t="s">
        <v>322</v>
      </c>
      <c r="C3" s="11"/>
      <c r="D3" s="11"/>
      <c r="E3" s="11"/>
      <c r="F3" s="11"/>
      <c r="G3" s="11"/>
      <c r="H3" s="11"/>
    </row>
    <row r="4" spans="1:5" ht="15.75">
      <c r="A4" s="19" t="s">
        <v>1</v>
      </c>
      <c r="B4" s="20"/>
      <c r="C4" s="331" t="s">
        <v>332</v>
      </c>
      <c r="E4" s="21"/>
    </row>
    <row r="5" spans="1:5" ht="15.75">
      <c r="A5" s="19" t="s">
        <v>2</v>
      </c>
      <c r="B5" s="20"/>
      <c r="C5" s="22" t="s">
        <v>4</v>
      </c>
      <c r="D5" s="21"/>
      <c r="E5" s="21"/>
    </row>
    <row r="6" spans="1:5" ht="15.75">
      <c r="A6" s="19" t="s">
        <v>3</v>
      </c>
      <c r="B6" s="20"/>
      <c r="C6" s="22" t="s">
        <v>45</v>
      </c>
      <c r="D6" s="21"/>
      <c r="E6" s="21"/>
    </row>
    <row r="7" spans="3:14" s="1" customFormat="1" ht="12.75">
      <c r="C7" s="4"/>
      <c r="D7" s="4"/>
      <c r="E7" s="4"/>
      <c r="F7" s="4"/>
      <c r="G7" s="4"/>
      <c r="H7" s="4"/>
      <c r="I7" s="4"/>
      <c r="J7" s="4"/>
      <c r="K7" s="4"/>
      <c r="L7" s="4"/>
      <c r="M7" s="57"/>
      <c r="N7" s="66"/>
    </row>
    <row r="8" spans="1:14" s="1" customFormat="1" ht="12.75" customHeight="1">
      <c r="A8" s="6" t="s">
        <v>19</v>
      </c>
      <c r="B8" s="7"/>
      <c r="C8" s="8"/>
      <c r="D8" s="8"/>
      <c r="E8" s="8"/>
      <c r="F8" s="7"/>
      <c r="G8" s="7"/>
      <c r="H8" s="7"/>
      <c r="I8" s="7"/>
      <c r="J8" s="7"/>
      <c r="K8" s="7"/>
      <c r="L8" s="7"/>
      <c r="M8" s="58"/>
      <c r="N8" s="66"/>
    </row>
    <row r="9" spans="1:14" s="1" customFormat="1" ht="25.5" customHeight="1">
      <c r="A9" s="2" t="s">
        <v>8</v>
      </c>
      <c r="B9" s="18" t="s">
        <v>9</v>
      </c>
      <c r="C9" s="18" t="s">
        <v>5</v>
      </c>
      <c r="D9" s="18" t="s">
        <v>6</v>
      </c>
      <c r="E9" s="18" t="s">
        <v>7</v>
      </c>
      <c r="F9" s="2" t="s">
        <v>38</v>
      </c>
      <c r="G9" s="2" t="s">
        <v>39</v>
      </c>
      <c r="H9" s="2" t="s">
        <v>40</v>
      </c>
      <c r="I9" s="2" t="s">
        <v>41</v>
      </c>
      <c r="J9" s="2" t="s">
        <v>42</v>
      </c>
      <c r="K9" s="2" t="s">
        <v>43</v>
      </c>
      <c r="L9" s="17" t="s">
        <v>10</v>
      </c>
      <c r="M9" s="59" t="s">
        <v>44</v>
      </c>
      <c r="N9" s="471" t="s">
        <v>505</v>
      </c>
    </row>
    <row r="10" spans="1:14" s="1" customFormat="1" ht="12.75">
      <c r="A10" s="5" t="s">
        <v>22</v>
      </c>
      <c r="B10" s="159" t="s">
        <v>156</v>
      </c>
      <c r="C10" s="56">
        <v>1990</v>
      </c>
      <c r="D10" s="160" t="s">
        <v>417</v>
      </c>
      <c r="E10" s="8" t="s">
        <v>97</v>
      </c>
      <c r="F10" s="12">
        <f>18+18+18+15+16</f>
        <v>85</v>
      </c>
      <c r="G10" s="12">
        <f>18+18+18+16+20</f>
        <v>90</v>
      </c>
      <c r="H10" s="12">
        <f>18+17+18+17+18</f>
        <v>88</v>
      </c>
      <c r="I10" s="12">
        <f>14+18+18+19+17</f>
        <v>86</v>
      </c>
      <c r="J10" s="12"/>
      <c r="K10" s="12"/>
      <c r="L10" s="9">
        <f>SUM(F10:K10)</f>
        <v>349</v>
      </c>
      <c r="M10" s="60" t="s">
        <v>265</v>
      </c>
      <c r="N10" s="66"/>
    </row>
    <row r="11" spans="1:14" s="1" customFormat="1" ht="12.75">
      <c r="A11" s="5" t="s">
        <v>23</v>
      </c>
      <c r="B11" s="365" t="s">
        <v>259</v>
      </c>
      <c r="C11" s="109">
        <v>1994</v>
      </c>
      <c r="D11" s="109">
        <v>31673</v>
      </c>
      <c r="E11" s="109" t="s">
        <v>352</v>
      </c>
      <c r="F11" s="12">
        <f>18+18+18+18+15</f>
        <v>87</v>
      </c>
      <c r="G11" s="12">
        <f>19+17+14+14+17</f>
        <v>81</v>
      </c>
      <c r="H11" s="12">
        <f>15+16+16+17+17</f>
        <v>81</v>
      </c>
      <c r="I11" s="12">
        <f>17+18+16+18+15</f>
        <v>84</v>
      </c>
      <c r="J11" s="12"/>
      <c r="K11" s="12"/>
      <c r="L11" s="9">
        <f>SUM(F11:K11)</f>
        <v>333</v>
      </c>
      <c r="M11" s="60" t="s">
        <v>265</v>
      </c>
      <c r="N11" s="66"/>
    </row>
    <row r="12" spans="1:14" s="1" customFormat="1" ht="12.75">
      <c r="A12" s="5"/>
      <c r="B12" s="137"/>
      <c r="C12" s="55"/>
      <c r="D12" s="373"/>
      <c r="E12" s="55"/>
      <c r="F12" s="12"/>
      <c r="G12" s="12"/>
      <c r="H12" s="12"/>
      <c r="I12" s="12"/>
      <c r="J12" s="12"/>
      <c r="K12" s="12"/>
      <c r="L12" s="9"/>
      <c r="M12" s="60"/>
      <c r="N12" s="66"/>
    </row>
    <row r="13" spans="1:14" s="1" customFormat="1" ht="24.75" customHeight="1">
      <c r="A13" s="6" t="s">
        <v>20</v>
      </c>
      <c r="B13" s="7"/>
      <c r="C13" s="8"/>
      <c r="D13" s="8"/>
      <c r="E13" s="8"/>
      <c r="F13" s="7"/>
      <c r="G13" s="7"/>
      <c r="H13" s="7"/>
      <c r="I13" s="7"/>
      <c r="J13" s="7"/>
      <c r="K13" s="7"/>
      <c r="L13" s="7"/>
      <c r="M13" s="58"/>
      <c r="N13" s="66"/>
    </row>
    <row r="14" spans="1:15" s="1" customFormat="1" ht="24.75" customHeight="1">
      <c r="A14" s="2" t="s">
        <v>8</v>
      </c>
      <c r="B14" s="18" t="s">
        <v>9</v>
      </c>
      <c r="C14" s="18" t="s">
        <v>5</v>
      </c>
      <c r="D14" s="18" t="s">
        <v>6</v>
      </c>
      <c r="E14" s="18" t="s">
        <v>7</v>
      </c>
      <c r="F14" s="2" t="s">
        <v>38</v>
      </c>
      <c r="G14" s="2" t="s">
        <v>39</v>
      </c>
      <c r="H14" s="2" t="s">
        <v>40</v>
      </c>
      <c r="I14" s="2" t="s">
        <v>41</v>
      </c>
      <c r="J14" s="2" t="s">
        <v>42</v>
      </c>
      <c r="K14" s="2" t="s">
        <v>43</v>
      </c>
      <c r="L14" s="17" t="s">
        <v>10</v>
      </c>
      <c r="M14" s="59" t="s">
        <v>44</v>
      </c>
      <c r="N14" s="67" t="s">
        <v>100</v>
      </c>
      <c r="O14" s="471" t="s">
        <v>505</v>
      </c>
    </row>
    <row r="15" spans="1:15" s="1" customFormat="1" ht="12.75" customHeight="1">
      <c r="A15" s="5" t="s">
        <v>22</v>
      </c>
      <c r="B15" s="137" t="s">
        <v>284</v>
      </c>
      <c r="C15" s="109">
        <v>1957</v>
      </c>
      <c r="D15" s="4">
        <v>32651</v>
      </c>
      <c r="E15" s="109" t="s">
        <v>349</v>
      </c>
      <c r="F15" s="4">
        <v>91</v>
      </c>
      <c r="G15" s="4">
        <v>96</v>
      </c>
      <c r="H15" s="4">
        <v>94</v>
      </c>
      <c r="I15" s="4">
        <v>91</v>
      </c>
      <c r="J15" s="4">
        <v>95</v>
      </c>
      <c r="K15" s="4">
        <f>19+18+20+18+20</f>
        <v>95</v>
      </c>
      <c r="L15" s="9">
        <f aca="true" t="shared" si="0" ref="L15:L27">SUM(F15:K15)</f>
        <v>562</v>
      </c>
      <c r="M15" s="57" t="s">
        <v>358</v>
      </c>
      <c r="N15" s="66">
        <f aca="true" t="shared" si="1" ref="N15:N27">SUM(F15:I15)</f>
        <v>372</v>
      </c>
      <c r="O15" s="27"/>
    </row>
    <row r="16" spans="1:14" s="1" customFormat="1" ht="12.75">
      <c r="A16" s="5" t="s">
        <v>23</v>
      </c>
      <c r="B16" s="137" t="s">
        <v>134</v>
      </c>
      <c r="C16" s="55">
        <v>1955</v>
      </c>
      <c r="D16" s="12">
        <v>17071</v>
      </c>
      <c r="E16" s="203" t="s">
        <v>355</v>
      </c>
      <c r="F16" s="4">
        <f>19+17+18+18+19</f>
        <v>91</v>
      </c>
      <c r="G16" s="4">
        <f>18+19+19+19+19</f>
        <v>94</v>
      </c>
      <c r="H16" s="4">
        <f>17+19+16+19+20</f>
        <v>91</v>
      </c>
      <c r="I16" s="4">
        <f>18+19+19+19+19</f>
        <v>94</v>
      </c>
      <c r="J16" s="4">
        <f>19+18+20+19+18</f>
        <v>94</v>
      </c>
      <c r="K16" s="4">
        <f>19+20+18+19+20</f>
        <v>96</v>
      </c>
      <c r="L16" s="9">
        <f>SUM(F16:K16)</f>
        <v>560</v>
      </c>
      <c r="M16" s="57" t="s">
        <v>266</v>
      </c>
      <c r="N16" s="66">
        <f t="shared" si="1"/>
        <v>370</v>
      </c>
    </row>
    <row r="17" spans="1:14" s="1" customFormat="1" ht="12.75">
      <c r="A17" s="5" t="s">
        <v>24</v>
      </c>
      <c r="B17" s="137" t="s">
        <v>360</v>
      </c>
      <c r="C17" s="109">
        <v>1970</v>
      </c>
      <c r="D17" s="4">
        <v>29592</v>
      </c>
      <c r="E17" s="109" t="s">
        <v>349</v>
      </c>
      <c r="F17" s="4">
        <f>19+20+20+20+18</f>
        <v>97</v>
      </c>
      <c r="G17" s="4">
        <f>19+18+20+19+19</f>
        <v>95</v>
      </c>
      <c r="H17" s="4">
        <f>17+18+19+18+18</f>
        <v>90</v>
      </c>
      <c r="I17" s="4">
        <f>18+19+19+20+20</f>
        <v>96</v>
      </c>
      <c r="J17" s="4">
        <f>18+18+17+19+19</f>
        <v>91</v>
      </c>
      <c r="K17" s="4">
        <f>18+17+18+19+18</f>
        <v>90</v>
      </c>
      <c r="L17" s="9">
        <f t="shared" si="0"/>
        <v>559</v>
      </c>
      <c r="M17" s="57" t="s">
        <v>266</v>
      </c>
      <c r="N17" s="66">
        <f t="shared" si="1"/>
        <v>378</v>
      </c>
    </row>
    <row r="18" spans="1:14" s="1" customFormat="1" ht="12.75">
      <c r="A18" s="5" t="s">
        <v>25</v>
      </c>
      <c r="B18" s="137" t="s">
        <v>49</v>
      </c>
      <c r="C18" s="55">
        <v>1954</v>
      </c>
      <c r="D18" s="4">
        <v>17785</v>
      </c>
      <c r="E18" s="109" t="s">
        <v>97</v>
      </c>
      <c r="F18" s="4">
        <f>19+18+19+17+17</f>
        <v>90</v>
      </c>
      <c r="G18" s="4">
        <f>17+18+20+17+19</f>
        <v>91</v>
      </c>
      <c r="H18" s="4">
        <f>18+19+18+17+17</f>
        <v>89</v>
      </c>
      <c r="I18" s="4">
        <f>20+18+17+18+19</f>
        <v>92</v>
      </c>
      <c r="J18" s="4">
        <f>19+19+17+19+19</f>
        <v>93</v>
      </c>
      <c r="K18" s="4">
        <f>18+19+20+19+19</f>
        <v>95</v>
      </c>
      <c r="L18" s="9">
        <f t="shared" si="0"/>
        <v>550</v>
      </c>
      <c r="M18" s="57" t="s">
        <v>266</v>
      </c>
      <c r="N18" s="66">
        <f t="shared" si="1"/>
        <v>362</v>
      </c>
    </row>
    <row r="19" spans="1:14" s="1" customFormat="1" ht="12.75">
      <c r="A19" s="5" t="s">
        <v>26</v>
      </c>
      <c r="B19" s="137" t="s">
        <v>129</v>
      </c>
      <c r="C19" s="55">
        <v>1935</v>
      </c>
      <c r="D19" s="4">
        <v>1794</v>
      </c>
      <c r="E19" s="4" t="s">
        <v>348</v>
      </c>
      <c r="F19" s="4">
        <v>88</v>
      </c>
      <c r="G19" s="4">
        <v>94</v>
      </c>
      <c r="H19" s="4">
        <v>94</v>
      </c>
      <c r="I19" s="4">
        <v>91</v>
      </c>
      <c r="J19" s="4">
        <v>96</v>
      </c>
      <c r="K19" s="4">
        <v>86</v>
      </c>
      <c r="L19" s="9">
        <f t="shared" si="0"/>
        <v>549</v>
      </c>
      <c r="M19" s="57" t="s">
        <v>427</v>
      </c>
      <c r="N19" s="66">
        <f t="shared" si="1"/>
        <v>367</v>
      </c>
    </row>
    <row r="20" spans="1:14" s="1" customFormat="1" ht="12.75">
      <c r="A20" s="5" t="s">
        <v>27</v>
      </c>
      <c r="B20" s="366" t="s">
        <v>344</v>
      </c>
      <c r="C20" s="369">
        <v>1975</v>
      </c>
      <c r="D20" s="4">
        <v>23672</v>
      </c>
      <c r="E20" s="4" t="s">
        <v>349</v>
      </c>
      <c r="F20" s="4">
        <f>19+19+19+17+18</f>
        <v>92</v>
      </c>
      <c r="G20" s="4">
        <f>18+19+17+20+18</f>
        <v>92</v>
      </c>
      <c r="H20" s="4">
        <f>18+20+18+19+19</f>
        <v>94</v>
      </c>
      <c r="I20" s="4">
        <f>18+17+17+19+17</f>
        <v>88</v>
      </c>
      <c r="J20" s="4">
        <f>20+19+18+18+17</f>
        <v>92</v>
      </c>
      <c r="K20" s="4">
        <f>19+18+19+17+17</f>
        <v>90</v>
      </c>
      <c r="L20" s="9">
        <f t="shared" si="0"/>
        <v>548</v>
      </c>
      <c r="M20" s="57" t="s">
        <v>266</v>
      </c>
      <c r="N20" s="66">
        <f t="shared" si="1"/>
        <v>366</v>
      </c>
    </row>
    <row r="21" spans="1:14" s="1" customFormat="1" ht="12.75">
      <c r="A21" s="5" t="s">
        <v>28</v>
      </c>
      <c r="B21" s="159" t="s">
        <v>51</v>
      </c>
      <c r="C21" s="4">
        <v>1940</v>
      </c>
      <c r="D21" s="4" t="s">
        <v>456</v>
      </c>
      <c r="E21" s="107" t="s">
        <v>341</v>
      </c>
      <c r="F21" s="4">
        <f>18+16+18+20+18</f>
        <v>90</v>
      </c>
      <c r="G21" s="4">
        <f>15+17+18+18+18</f>
        <v>86</v>
      </c>
      <c r="H21" s="4">
        <f>18+18+18+20+17</f>
        <v>91</v>
      </c>
      <c r="I21" s="4">
        <f>17+19+17+19+20</f>
        <v>92</v>
      </c>
      <c r="J21" s="4">
        <f>17+18+15+17+16</f>
        <v>83</v>
      </c>
      <c r="K21" s="4">
        <f>16+17+14+18+18</f>
        <v>83</v>
      </c>
      <c r="L21" s="9">
        <f t="shared" si="0"/>
        <v>525</v>
      </c>
      <c r="M21" s="57" t="s">
        <v>462</v>
      </c>
      <c r="N21" s="66">
        <f t="shared" si="1"/>
        <v>359</v>
      </c>
    </row>
    <row r="22" spans="1:14" s="1" customFormat="1" ht="12.75">
      <c r="A22" s="5" t="s">
        <v>29</v>
      </c>
      <c r="B22" s="137" t="s">
        <v>159</v>
      </c>
      <c r="C22" s="55">
        <v>1972</v>
      </c>
      <c r="D22" s="4">
        <v>37828</v>
      </c>
      <c r="E22" s="4" t="s">
        <v>152</v>
      </c>
      <c r="F22" s="4">
        <f>19+20+17+18+17</f>
        <v>91</v>
      </c>
      <c r="G22" s="4">
        <f>16+13+16+16+17</f>
        <v>78</v>
      </c>
      <c r="H22" s="4">
        <f>18+19+18+17+19</f>
        <v>91</v>
      </c>
      <c r="I22" s="4">
        <f>18+17+17+18+17</f>
        <v>87</v>
      </c>
      <c r="J22" s="4">
        <f>19+16+16+18+19</f>
        <v>88</v>
      </c>
      <c r="K22" s="4">
        <f>16+14+20+18+19</f>
        <v>87</v>
      </c>
      <c r="L22" s="9">
        <f t="shared" si="0"/>
        <v>522</v>
      </c>
      <c r="M22" s="57" t="s">
        <v>265</v>
      </c>
      <c r="N22" s="66">
        <f t="shared" si="1"/>
        <v>347</v>
      </c>
    </row>
    <row r="23" spans="1:14" s="1" customFormat="1" ht="12.75">
      <c r="A23" s="5" t="s">
        <v>30</v>
      </c>
      <c r="B23" s="367" t="s">
        <v>175</v>
      </c>
      <c r="C23" s="109">
        <v>1971</v>
      </c>
      <c r="D23" s="4" t="s">
        <v>340</v>
      </c>
      <c r="E23" s="4" t="s">
        <v>341</v>
      </c>
      <c r="F23" s="4">
        <f>19+18+18+14+16</f>
        <v>85</v>
      </c>
      <c r="G23" s="4">
        <f>20+20+19+15+16</f>
        <v>90</v>
      </c>
      <c r="H23" s="4">
        <f>20+18+15+17+15</f>
        <v>85</v>
      </c>
      <c r="I23" s="4">
        <f>18+17+19+17+14</f>
        <v>85</v>
      </c>
      <c r="J23" s="4">
        <f>19+14+19+17+18</f>
        <v>87</v>
      </c>
      <c r="K23" s="4">
        <f>17+17+17+15+18</f>
        <v>84</v>
      </c>
      <c r="L23" s="9">
        <f t="shared" si="0"/>
        <v>516</v>
      </c>
      <c r="M23" s="57"/>
      <c r="N23" s="66">
        <f t="shared" si="1"/>
        <v>345</v>
      </c>
    </row>
    <row r="24" spans="1:14" s="1" customFormat="1" ht="12.75">
      <c r="A24" s="5" t="s">
        <v>31</v>
      </c>
      <c r="B24" s="365" t="s">
        <v>50</v>
      </c>
      <c r="C24" s="109">
        <v>1977</v>
      </c>
      <c r="D24" s="109">
        <v>31241</v>
      </c>
      <c r="E24" s="107" t="s">
        <v>97</v>
      </c>
      <c r="F24" s="4">
        <f>20+16+16+18+17</f>
        <v>87</v>
      </c>
      <c r="G24" s="4">
        <f>16+16+20+17+16</f>
        <v>85</v>
      </c>
      <c r="H24" s="4">
        <f>17+19+17+16+17</f>
        <v>86</v>
      </c>
      <c r="I24" s="4">
        <f>16+18+18+13+18</f>
        <v>83</v>
      </c>
      <c r="J24" s="4">
        <f>16+16+15+17+18</f>
        <v>82</v>
      </c>
      <c r="K24" s="4">
        <f>17+16+19+17+18</f>
        <v>87</v>
      </c>
      <c r="L24" s="9">
        <f t="shared" si="0"/>
        <v>510</v>
      </c>
      <c r="M24" s="57"/>
      <c r="N24" s="66">
        <f t="shared" si="1"/>
        <v>341</v>
      </c>
    </row>
    <row r="25" spans="1:15" s="1" customFormat="1" ht="12.75">
      <c r="A25" s="5" t="s">
        <v>34</v>
      </c>
      <c r="B25" s="365" t="s">
        <v>310</v>
      </c>
      <c r="C25" s="109">
        <v>1946</v>
      </c>
      <c r="D25" s="332" t="s">
        <v>286</v>
      </c>
      <c r="E25" s="4" t="s">
        <v>287</v>
      </c>
      <c r="F25" s="4">
        <f>14+14+16+16+18</f>
        <v>78</v>
      </c>
      <c r="G25" s="4">
        <f>17+17+17+19+16</f>
        <v>86</v>
      </c>
      <c r="H25" s="4">
        <f>15+14+18+18+16</f>
        <v>81</v>
      </c>
      <c r="I25" s="4">
        <f>18+15+17+17+18</f>
        <v>85</v>
      </c>
      <c r="J25" s="4">
        <f>18+18+18+18+17</f>
        <v>89</v>
      </c>
      <c r="K25" s="4">
        <f>20+17+17+18+18</f>
        <v>90</v>
      </c>
      <c r="L25" s="9">
        <f t="shared" si="0"/>
        <v>509</v>
      </c>
      <c r="M25" s="57"/>
      <c r="N25" s="66">
        <f t="shared" si="1"/>
        <v>330</v>
      </c>
      <c r="O25" s="28">
        <v>10</v>
      </c>
    </row>
    <row r="26" spans="1:15" s="1" customFormat="1" ht="12.75">
      <c r="A26" s="5" t="s">
        <v>35</v>
      </c>
      <c r="B26" s="137" t="s">
        <v>412</v>
      </c>
      <c r="C26" s="55">
        <v>1959</v>
      </c>
      <c r="D26" s="12" t="s">
        <v>414</v>
      </c>
      <c r="E26" s="12" t="s">
        <v>413</v>
      </c>
      <c r="F26" s="4">
        <f>17+17+17+17+18</f>
        <v>86</v>
      </c>
      <c r="G26" s="4">
        <f>18+15+13+17+18</f>
        <v>81</v>
      </c>
      <c r="H26" s="4">
        <f>17+19+16+15+19</f>
        <v>86</v>
      </c>
      <c r="I26" s="4">
        <f>16+17+17+18+18</f>
        <v>86</v>
      </c>
      <c r="J26" s="4">
        <f>15+18+18+18+18</f>
        <v>87</v>
      </c>
      <c r="K26" s="4">
        <f>18+15+18+18+14</f>
        <v>83</v>
      </c>
      <c r="L26" s="9">
        <f t="shared" si="0"/>
        <v>509</v>
      </c>
      <c r="M26" s="57"/>
      <c r="N26" s="66">
        <f t="shared" si="1"/>
        <v>339</v>
      </c>
      <c r="O26" s="28">
        <v>5</v>
      </c>
    </row>
    <row r="27" spans="1:14" s="1" customFormat="1" ht="12.75">
      <c r="A27" s="5" t="s">
        <v>36</v>
      </c>
      <c r="B27" s="137" t="s">
        <v>148</v>
      </c>
      <c r="C27" s="55">
        <v>1978</v>
      </c>
      <c r="D27" s="4" t="s">
        <v>353</v>
      </c>
      <c r="E27" s="4" t="s">
        <v>354</v>
      </c>
      <c r="F27" s="4">
        <f>17+18+18+16+15</f>
        <v>84</v>
      </c>
      <c r="G27" s="4">
        <f>16+15+18+16+18</f>
        <v>83</v>
      </c>
      <c r="H27" s="4">
        <f>15+13+16+8+19</f>
        <v>71</v>
      </c>
      <c r="I27" s="4">
        <f>8+14+10+10+9</f>
        <v>51</v>
      </c>
      <c r="J27" s="4">
        <f>13+15+10+6+14</f>
        <v>58</v>
      </c>
      <c r="K27" s="4">
        <f>17+15+11+11+9</f>
        <v>63</v>
      </c>
      <c r="L27" s="9">
        <f t="shared" si="0"/>
        <v>410</v>
      </c>
      <c r="M27" s="57"/>
      <c r="N27" s="66">
        <f t="shared" si="1"/>
        <v>289</v>
      </c>
    </row>
    <row r="28" spans="1:14" s="1" customFormat="1" ht="24.75" customHeight="1">
      <c r="A28" s="6" t="s">
        <v>21</v>
      </c>
      <c r="B28" s="7"/>
      <c r="C28" s="8"/>
      <c r="D28" s="8"/>
      <c r="E28" s="8"/>
      <c r="F28" s="7"/>
      <c r="G28" s="7"/>
      <c r="H28" s="7"/>
      <c r="I28" s="7"/>
      <c r="J28" s="7"/>
      <c r="K28" s="7"/>
      <c r="L28" s="7"/>
      <c r="M28" s="58"/>
      <c r="N28" s="66"/>
    </row>
    <row r="29" spans="1:14" s="1" customFormat="1" ht="25.5" customHeight="1">
      <c r="A29" s="2" t="s">
        <v>8</v>
      </c>
      <c r="B29" s="18" t="s">
        <v>17</v>
      </c>
      <c r="C29" s="18" t="s">
        <v>11</v>
      </c>
      <c r="D29" s="18" t="s">
        <v>12</v>
      </c>
      <c r="E29" s="18" t="s">
        <v>13</v>
      </c>
      <c r="F29" s="507" t="s">
        <v>14</v>
      </c>
      <c r="G29" s="507"/>
      <c r="H29" s="507" t="s">
        <v>15</v>
      </c>
      <c r="I29" s="507"/>
      <c r="J29" s="507" t="s">
        <v>16</v>
      </c>
      <c r="K29" s="507"/>
      <c r="L29" s="17" t="s">
        <v>10</v>
      </c>
      <c r="M29" s="59"/>
      <c r="N29" s="66"/>
    </row>
    <row r="30" spans="1:14" s="379" customFormat="1" ht="15">
      <c r="A30" s="384" t="s">
        <v>22</v>
      </c>
      <c r="B30" s="385" t="s">
        <v>364</v>
      </c>
      <c r="C30" s="57" t="s">
        <v>362</v>
      </c>
      <c r="D30" s="57" t="s">
        <v>361</v>
      </c>
      <c r="E30" s="57" t="s">
        <v>363</v>
      </c>
      <c r="F30" s="503">
        <v>372</v>
      </c>
      <c r="G30" s="503"/>
      <c r="H30" s="503">
        <v>378</v>
      </c>
      <c r="I30" s="503"/>
      <c r="J30" s="503">
        <v>366</v>
      </c>
      <c r="K30" s="503"/>
      <c r="L30" s="328">
        <f>SUM(F30:K30)</f>
        <v>1116</v>
      </c>
      <c r="N30" s="330"/>
    </row>
    <row r="31" spans="1:12" ht="15">
      <c r="A31" s="384" t="s">
        <v>23</v>
      </c>
      <c r="B31" s="387" t="s">
        <v>418</v>
      </c>
      <c r="C31" s="57" t="s">
        <v>468</v>
      </c>
      <c r="D31" s="386" t="s">
        <v>421</v>
      </c>
      <c r="E31" s="57" t="s">
        <v>366</v>
      </c>
      <c r="F31" s="503">
        <v>362</v>
      </c>
      <c r="G31" s="503"/>
      <c r="H31" s="503">
        <v>349</v>
      </c>
      <c r="I31" s="503"/>
      <c r="J31" s="503">
        <v>359</v>
      </c>
      <c r="K31" s="503"/>
      <c r="L31" s="328">
        <f>SUM(F31:K31)</f>
        <v>1070</v>
      </c>
    </row>
    <row r="32" spans="1:14" s="1" customFormat="1" ht="15">
      <c r="A32" s="384" t="s">
        <v>24</v>
      </c>
      <c r="B32" s="145" t="s">
        <v>354</v>
      </c>
      <c r="C32" s="8" t="s">
        <v>375</v>
      </c>
      <c r="D32" s="12" t="s">
        <v>374</v>
      </c>
      <c r="E32" s="4"/>
      <c r="F32" s="504">
        <v>333</v>
      </c>
      <c r="G32" s="504"/>
      <c r="H32" s="504">
        <v>289</v>
      </c>
      <c r="I32" s="504"/>
      <c r="J32" s="504"/>
      <c r="K32" s="504"/>
      <c r="L32" s="9">
        <f>SUM(F32:K32)</f>
        <v>622</v>
      </c>
      <c r="M32" s="4"/>
      <c r="N32" s="443"/>
    </row>
    <row r="33" spans="13:14" s="379" customFormat="1" ht="12.75">
      <c r="M33" s="57"/>
      <c r="N33" s="330"/>
    </row>
    <row r="34" spans="3:14" s="1" customFormat="1" ht="12.75">
      <c r="C34" s="4"/>
      <c r="D34" s="4"/>
      <c r="E34" s="28" t="s">
        <v>94</v>
      </c>
      <c r="F34" s="4"/>
      <c r="G34" s="4"/>
      <c r="H34" s="4"/>
      <c r="I34" s="4"/>
      <c r="J34" s="4"/>
      <c r="K34" s="4"/>
      <c r="L34" s="4"/>
      <c r="M34" s="57"/>
      <c r="N34" s="66"/>
    </row>
    <row r="35" spans="3:14" s="1" customFormat="1" ht="12.75">
      <c r="C35" s="4"/>
      <c r="D35" s="4"/>
      <c r="E35" s="28" t="s">
        <v>95</v>
      </c>
      <c r="F35" s="4"/>
      <c r="G35" s="4"/>
      <c r="H35" s="4"/>
      <c r="I35" s="4"/>
      <c r="J35" s="4"/>
      <c r="K35" s="4"/>
      <c r="L35" s="4"/>
      <c r="M35" s="57"/>
      <c r="N35" s="66"/>
    </row>
    <row r="36" spans="3:14" s="1" customFormat="1" ht="12.75">
      <c r="C36" s="4"/>
      <c r="D36" s="4"/>
      <c r="E36" s="4"/>
      <c r="F36" s="4"/>
      <c r="G36" s="4"/>
      <c r="H36" s="4"/>
      <c r="I36" s="4"/>
      <c r="J36" s="4"/>
      <c r="K36" s="4"/>
      <c r="L36" s="4"/>
      <c r="M36" s="57"/>
      <c r="N36" s="66"/>
    </row>
    <row r="37" spans="3:14" s="1" customFormat="1" ht="12.75">
      <c r="C37" s="4"/>
      <c r="D37" s="4"/>
      <c r="E37" s="28"/>
      <c r="F37" s="4"/>
      <c r="G37" s="4"/>
      <c r="H37" s="4"/>
      <c r="I37" s="4"/>
      <c r="J37" s="4"/>
      <c r="K37" s="4"/>
      <c r="L37" s="4"/>
      <c r="M37" s="57"/>
      <c r="N37" s="66"/>
    </row>
    <row r="38" spans="3:14" s="1" customFormat="1" ht="12.75">
      <c r="C38" s="4"/>
      <c r="D38" s="4"/>
      <c r="E38" s="28"/>
      <c r="F38" s="4"/>
      <c r="G38" s="4"/>
      <c r="H38" s="4"/>
      <c r="I38" s="4"/>
      <c r="J38" s="4"/>
      <c r="K38" s="4"/>
      <c r="L38" s="4"/>
      <c r="M38" s="57"/>
      <c r="N38" s="66"/>
    </row>
    <row r="39" spans="3:14" s="1" customFormat="1" ht="12.75">
      <c r="C39" s="4"/>
      <c r="D39" s="4"/>
      <c r="E39" s="4"/>
      <c r="F39" s="4"/>
      <c r="G39" s="4"/>
      <c r="H39" s="4"/>
      <c r="I39" s="4"/>
      <c r="J39" s="4"/>
      <c r="K39" s="4"/>
      <c r="L39" s="4"/>
      <c r="M39" s="57"/>
      <c r="N39" s="66"/>
    </row>
    <row r="40" spans="3:14" s="1" customFormat="1" ht="12.75">
      <c r="C40" s="4"/>
      <c r="D40" s="4"/>
      <c r="E40" s="4"/>
      <c r="F40" s="4"/>
      <c r="G40" s="4"/>
      <c r="H40" s="4"/>
      <c r="I40" s="4"/>
      <c r="J40" s="4"/>
      <c r="K40" s="4"/>
      <c r="L40" s="4"/>
      <c r="M40" s="57"/>
      <c r="N40" s="66"/>
    </row>
    <row r="41" spans="3:14" s="1" customFormat="1" ht="12.75">
      <c r="C41" s="4"/>
      <c r="D41" s="4"/>
      <c r="E41" s="4"/>
      <c r="F41" s="4"/>
      <c r="G41" s="4"/>
      <c r="H41" s="4"/>
      <c r="I41" s="4"/>
      <c r="J41" s="4"/>
      <c r="K41" s="4"/>
      <c r="L41" s="4"/>
      <c r="M41" s="57"/>
      <c r="N41" s="66"/>
    </row>
    <row r="42" spans="3:14" s="1" customFormat="1" ht="12.75">
      <c r="C42" s="4"/>
      <c r="D42" s="4"/>
      <c r="E42" s="4"/>
      <c r="F42" s="4"/>
      <c r="G42" s="4"/>
      <c r="H42" s="4"/>
      <c r="I42" s="4"/>
      <c r="J42" s="4"/>
      <c r="K42" s="4"/>
      <c r="L42" s="4"/>
      <c r="M42" s="57"/>
      <c r="N42" s="66"/>
    </row>
    <row r="43" spans="3:14" s="1" customFormat="1" ht="12.75">
      <c r="C43" s="4"/>
      <c r="D43" s="4"/>
      <c r="E43" s="4"/>
      <c r="F43" s="4"/>
      <c r="G43" s="4"/>
      <c r="H43" s="4"/>
      <c r="I43" s="4"/>
      <c r="J43" s="4"/>
      <c r="K43" s="4"/>
      <c r="L43" s="4"/>
      <c r="M43" s="57"/>
      <c r="N43" s="66"/>
    </row>
    <row r="44" spans="3:14" s="1" customFormat="1" ht="12.75">
      <c r="C44" s="4"/>
      <c r="D44" s="4"/>
      <c r="E44" s="4"/>
      <c r="F44" s="4"/>
      <c r="G44" s="4"/>
      <c r="H44" s="4"/>
      <c r="I44" s="4"/>
      <c r="J44" s="4"/>
      <c r="K44" s="4"/>
      <c r="L44" s="4"/>
      <c r="M44" s="57"/>
      <c r="N44" s="66"/>
    </row>
    <row r="45" spans="3:14" s="1" customFormat="1" ht="12.75">
      <c r="C45" s="4"/>
      <c r="D45" s="4"/>
      <c r="E45" s="4"/>
      <c r="F45" s="4"/>
      <c r="G45" s="4"/>
      <c r="H45" s="4"/>
      <c r="I45" s="4"/>
      <c r="J45" s="4"/>
      <c r="K45" s="4"/>
      <c r="L45" s="4"/>
      <c r="M45" s="57"/>
      <c r="N45" s="66"/>
    </row>
    <row r="46" spans="3:14" s="1" customFormat="1" ht="12.75">
      <c r="C46" s="4"/>
      <c r="D46" s="4"/>
      <c r="E46" s="4"/>
      <c r="F46" s="4"/>
      <c r="G46" s="4"/>
      <c r="H46" s="4"/>
      <c r="I46" s="4"/>
      <c r="J46" s="4"/>
      <c r="K46" s="4"/>
      <c r="L46" s="4"/>
      <c r="M46" s="57"/>
      <c r="N46" s="66"/>
    </row>
    <row r="47" spans="2:14" s="1" customFormat="1" ht="12.75">
      <c r="B47" s="434"/>
      <c r="C47" s="4"/>
      <c r="D47" s="4"/>
      <c r="E47" s="4"/>
      <c r="F47" s="4"/>
      <c r="G47" s="4"/>
      <c r="H47" s="4"/>
      <c r="I47" s="4"/>
      <c r="J47" s="4"/>
      <c r="K47" s="4"/>
      <c r="L47" s="4"/>
      <c r="M47" s="57"/>
      <c r="N47" s="66"/>
    </row>
    <row r="48" spans="3:14" s="1" customFormat="1" ht="12.75">
      <c r="C48" s="4"/>
      <c r="D48" s="4"/>
      <c r="E48" s="4"/>
      <c r="F48" s="4"/>
      <c r="G48" s="4"/>
      <c r="H48" s="4"/>
      <c r="I48" s="4"/>
      <c r="J48" s="4"/>
      <c r="K48" s="4"/>
      <c r="L48" s="4"/>
      <c r="M48" s="57"/>
      <c r="N48" s="66"/>
    </row>
    <row r="49" spans="3:14" s="1" customFormat="1" ht="12.75">
      <c r="C49" s="4"/>
      <c r="D49" s="4"/>
      <c r="E49" s="4"/>
      <c r="F49" s="4"/>
      <c r="G49" s="4"/>
      <c r="H49" s="4"/>
      <c r="I49" s="4"/>
      <c r="J49" s="4"/>
      <c r="K49" s="4"/>
      <c r="L49" s="4"/>
      <c r="M49" s="57"/>
      <c r="N49" s="66"/>
    </row>
    <row r="50" spans="3:14" s="1" customFormat="1" ht="12.75">
      <c r="C50" s="4"/>
      <c r="D50" s="4"/>
      <c r="E50" s="4"/>
      <c r="F50" s="4"/>
      <c r="G50" s="4"/>
      <c r="H50" s="4"/>
      <c r="I50" s="4"/>
      <c r="J50" s="4"/>
      <c r="K50" s="4"/>
      <c r="L50" s="4"/>
      <c r="M50" s="57"/>
      <c r="N50" s="66"/>
    </row>
    <row r="51" spans="3:14" s="1" customFormat="1" ht="12.75">
      <c r="C51" s="4"/>
      <c r="D51" s="4"/>
      <c r="E51" s="4"/>
      <c r="F51" s="4"/>
      <c r="G51" s="4"/>
      <c r="H51" s="4"/>
      <c r="I51" s="4"/>
      <c r="J51" s="4"/>
      <c r="K51" s="4"/>
      <c r="L51" s="4"/>
      <c r="M51" s="57"/>
      <c r="N51" s="66"/>
    </row>
    <row r="52" spans="3:14" s="1" customFormat="1" ht="12.75">
      <c r="C52" s="4"/>
      <c r="D52" s="4"/>
      <c r="E52" s="4"/>
      <c r="F52" s="4"/>
      <c r="G52" s="4"/>
      <c r="H52" s="4"/>
      <c r="I52" s="4"/>
      <c r="J52" s="4"/>
      <c r="K52" s="4"/>
      <c r="L52" s="4"/>
      <c r="M52" s="57"/>
      <c r="N52" s="66"/>
    </row>
    <row r="53" spans="3:14" s="1" customFormat="1" ht="12.75">
      <c r="C53" s="4"/>
      <c r="D53" s="4"/>
      <c r="E53" s="4"/>
      <c r="F53" s="4"/>
      <c r="G53" s="4"/>
      <c r="H53" s="4"/>
      <c r="I53" s="4"/>
      <c r="J53" s="4"/>
      <c r="K53" s="4"/>
      <c r="L53" s="4"/>
      <c r="M53" s="57"/>
      <c r="N53" s="66"/>
    </row>
    <row r="54" spans="3:14" s="1" customFormat="1" ht="12.75">
      <c r="C54" s="4"/>
      <c r="D54" s="4"/>
      <c r="E54" s="4"/>
      <c r="F54" s="4"/>
      <c r="G54" s="4"/>
      <c r="H54" s="4"/>
      <c r="I54" s="4"/>
      <c r="J54" s="4"/>
      <c r="K54" s="4"/>
      <c r="L54" s="4"/>
      <c r="M54" s="57"/>
      <c r="N54" s="66"/>
    </row>
    <row r="55" spans="3:14" s="1" customFormat="1" ht="12.75">
      <c r="C55" s="4"/>
      <c r="D55" s="4"/>
      <c r="E55" s="4"/>
      <c r="F55" s="4"/>
      <c r="G55" s="4"/>
      <c r="H55" s="4"/>
      <c r="I55" s="4"/>
      <c r="J55" s="4"/>
      <c r="K55" s="4"/>
      <c r="L55" s="4"/>
      <c r="M55" s="57"/>
      <c r="N55" s="66"/>
    </row>
    <row r="56" spans="3:14" s="1" customFormat="1" ht="12.75">
      <c r="C56" s="4"/>
      <c r="D56" s="4"/>
      <c r="E56" s="4"/>
      <c r="F56" s="4"/>
      <c r="G56" s="4"/>
      <c r="H56" s="4"/>
      <c r="I56" s="4"/>
      <c r="J56" s="4"/>
      <c r="K56" s="4"/>
      <c r="L56" s="4"/>
      <c r="M56" s="57"/>
      <c r="N56" s="66"/>
    </row>
    <row r="57" spans="3:14" s="1" customFormat="1" ht="12.75">
      <c r="C57" s="4"/>
      <c r="D57" s="4"/>
      <c r="E57" s="4"/>
      <c r="F57" s="4"/>
      <c r="G57" s="4"/>
      <c r="H57" s="4"/>
      <c r="I57" s="4"/>
      <c r="J57" s="4"/>
      <c r="K57" s="4"/>
      <c r="L57" s="4"/>
      <c r="M57" s="57"/>
      <c r="N57" s="66"/>
    </row>
    <row r="58" spans="3:14" s="1" customFormat="1" ht="12.75">
      <c r="C58" s="4"/>
      <c r="D58" s="4"/>
      <c r="E58" s="4"/>
      <c r="F58" s="4"/>
      <c r="G58" s="4"/>
      <c r="H58" s="4"/>
      <c r="I58" s="4"/>
      <c r="J58" s="4"/>
      <c r="K58" s="4"/>
      <c r="L58" s="4"/>
      <c r="M58" s="57"/>
      <c r="N58" s="66"/>
    </row>
    <row r="59" spans="3:14" s="1" customFormat="1" ht="12.75">
      <c r="C59" s="4"/>
      <c r="D59" s="4"/>
      <c r="E59" s="4"/>
      <c r="F59" s="4"/>
      <c r="G59" s="4"/>
      <c r="H59" s="4"/>
      <c r="I59" s="4"/>
      <c r="J59" s="4"/>
      <c r="K59" s="4"/>
      <c r="L59" s="4"/>
      <c r="M59" s="57"/>
      <c r="N59" s="66"/>
    </row>
    <row r="60" spans="3:14" s="1" customFormat="1" ht="12.75">
      <c r="C60" s="4"/>
      <c r="D60" s="4"/>
      <c r="E60" s="4"/>
      <c r="F60" s="4"/>
      <c r="G60" s="4"/>
      <c r="H60" s="4"/>
      <c r="I60" s="4"/>
      <c r="J60" s="4"/>
      <c r="K60" s="4"/>
      <c r="L60" s="4"/>
      <c r="M60" s="57"/>
      <c r="N60" s="66"/>
    </row>
    <row r="61" spans="3:14" s="1" customFormat="1" ht="12.75">
      <c r="C61" s="4"/>
      <c r="D61" s="4"/>
      <c r="E61" s="4"/>
      <c r="F61" s="4"/>
      <c r="G61" s="4"/>
      <c r="H61" s="4"/>
      <c r="I61" s="4"/>
      <c r="J61" s="4"/>
      <c r="K61" s="4"/>
      <c r="L61" s="4"/>
      <c r="M61" s="57"/>
      <c r="N61" s="66"/>
    </row>
    <row r="62" spans="3:14" s="1" customFormat="1" ht="12.75">
      <c r="C62" s="4"/>
      <c r="D62" s="4"/>
      <c r="E62" s="4"/>
      <c r="F62" s="4"/>
      <c r="G62" s="4"/>
      <c r="H62" s="4"/>
      <c r="I62" s="4"/>
      <c r="J62" s="4"/>
      <c r="K62" s="4"/>
      <c r="L62" s="4"/>
      <c r="M62" s="57"/>
      <c r="N62" s="66"/>
    </row>
    <row r="63" spans="3:14" s="1" customFormat="1" ht="12.75">
      <c r="C63" s="4"/>
      <c r="D63" s="4"/>
      <c r="E63" s="4"/>
      <c r="F63" s="4"/>
      <c r="G63" s="4"/>
      <c r="H63" s="4"/>
      <c r="I63" s="4"/>
      <c r="J63" s="4"/>
      <c r="K63" s="4"/>
      <c r="L63" s="4"/>
      <c r="M63" s="57"/>
      <c r="N63" s="66"/>
    </row>
    <row r="64" spans="3:14" s="1" customFormat="1" ht="12.75">
      <c r="C64" s="4"/>
      <c r="D64" s="4"/>
      <c r="E64" s="4"/>
      <c r="F64" s="4"/>
      <c r="G64" s="4"/>
      <c r="H64" s="4"/>
      <c r="I64" s="4"/>
      <c r="J64" s="4"/>
      <c r="K64" s="4"/>
      <c r="L64" s="4"/>
      <c r="M64" s="57"/>
      <c r="N64" s="66"/>
    </row>
    <row r="65" spans="3:14" s="1" customFormat="1" ht="12.75">
      <c r="C65" s="4"/>
      <c r="D65" s="4"/>
      <c r="E65" s="4"/>
      <c r="F65" s="4"/>
      <c r="G65" s="4"/>
      <c r="H65" s="4"/>
      <c r="I65" s="4"/>
      <c r="J65" s="4"/>
      <c r="K65" s="4"/>
      <c r="L65" s="4"/>
      <c r="M65" s="57"/>
      <c r="N65" s="66"/>
    </row>
    <row r="66" spans="3:14" s="1" customFormat="1" ht="12.75">
      <c r="C66" s="4"/>
      <c r="D66" s="4"/>
      <c r="E66" s="4"/>
      <c r="F66" s="4"/>
      <c r="G66" s="4"/>
      <c r="H66" s="4"/>
      <c r="I66" s="4"/>
      <c r="J66" s="4"/>
      <c r="K66" s="4"/>
      <c r="L66" s="4"/>
      <c r="M66" s="57"/>
      <c r="N66" s="66"/>
    </row>
    <row r="67" spans="3:14" s="1" customFormat="1" ht="12.75">
      <c r="C67" s="4"/>
      <c r="D67" s="4"/>
      <c r="E67" s="4"/>
      <c r="F67" s="4"/>
      <c r="G67" s="4"/>
      <c r="H67" s="4"/>
      <c r="I67" s="4"/>
      <c r="J67" s="4"/>
      <c r="K67" s="4"/>
      <c r="L67" s="4"/>
      <c r="M67" s="57"/>
      <c r="N67" s="66"/>
    </row>
    <row r="68" spans="3:14" s="1" customFormat="1" ht="12.75">
      <c r="C68" s="4"/>
      <c r="D68" s="4"/>
      <c r="E68" s="4"/>
      <c r="F68" s="4"/>
      <c r="G68" s="4"/>
      <c r="H68" s="4"/>
      <c r="I68" s="4"/>
      <c r="J68" s="4"/>
      <c r="K68" s="4"/>
      <c r="L68" s="4"/>
      <c r="M68" s="57"/>
      <c r="N68" s="66"/>
    </row>
    <row r="69" spans="3:14" s="1" customFormat="1" ht="12.75">
      <c r="C69" s="4"/>
      <c r="D69" s="4"/>
      <c r="E69" s="4"/>
      <c r="F69" s="4"/>
      <c r="G69" s="4"/>
      <c r="H69" s="4"/>
      <c r="I69" s="4"/>
      <c r="J69" s="4"/>
      <c r="K69" s="4"/>
      <c r="L69" s="4"/>
      <c r="M69" s="57"/>
      <c r="N69" s="66"/>
    </row>
    <row r="70" spans="3:14" s="1" customFormat="1" ht="12.75">
      <c r="C70" s="4"/>
      <c r="D70" s="4"/>
      <c r="E70" s="4"/>
      <c r="F70" s="4"/>
      <c r="G70" s="4"/>
      <c r="H70" s="4"/>
      <c r="I70" s="4"/>
      <c r="J70" s="4"/>
      <c r="K70" s="4"/>
      <c r="L70" s="4"/>
      <c r="M70" s="57"/>
      <c r="N70" s="66"/>
    </row>
    <row r="71" spans="3:14" s="1" customFormat="1" ht="12.75">
      <c r="C71" s="4"/>
      <c r="D71" s="4"/>
      <c r="E71" s="4"/>
      <c r="F71" s="4"/>
      <c r="G71" s="4"/>
      <c r="H71" s="4"/>
      <c r="I71" s="4"/>
      <c r="J71" s="4"/>
      <c r="K71" s="4"/>
      <c r="L71" s="4"/>
      <c r="M71" s="57"/>
      <c r="N71" s="66"/>
    </row>
    <row r="72" spans="3:14" s="1" customFormat="1" ht="12.75">
      <c r="C72" s="4"/>
      <c r="D72" s="4"/>
      <c r="E72" s="4"/>
      <c r="F72" s="4"/>
      <c r="G72" s="4"/>
      <c r="H72" s="4"/>
      <c r="I72" s="4"/>
      <c r="J72" s="4"/>
      <c r="K72" s="4"/>
      <c r="L72" s="4"/>
      <c r="M72" s="57"/>
      <c r="N72" s="66"/>
    </row>
    <row r="73" spans="3:14" s="1" customFormat="1" ht="12.75">
      <c r="C73" s="4"/>
      <c r="D73" s="4"/>
      <c r="E73" s="4"/>
      <c r="F73" s="4"/>
      <c r="G73" s="4"/>
      <c r="H73" s="4"/>
      <c r="I73" s="4"/>
      <c r="J73" s="4"/>
      <c r="K73" s="4"/>
      <c r="L73" s="4"/>
      <c r="M73" s="57"/>
      <c r="N73" s="66"/>
    </row>
    <row r="74" spans="3:14" s="1" customFormat="1" ht="12.75">
      <c r="C74" s="4"/>
      <c r="D74" s="4"/>
      <c r="E74" s="4"/>
      <c r="F74" s="4"/>
      <c r="G74" s="4"/>
      <c r="H74" s="4"/>
      <c r="I74" s="4"/>
      <c r="J74" s="4"/>
      <c r="K74" s="4"/>
      <c r="L74" s="4"/>
      <c r="M74" s="57"/>
      <c r="N74" s="66"/>
    </row>
    <row r="75" spans="3:14" s="1" customFormat="1" ht="12.75">
      <c r="C75" s="4"/>
      <c r="D75" s="4"/>
      <c r="E75" s="4"/>
      <c r="F75" s="4"/>
      <c r="G75" s="4"/>
      <c r="H75" s="4"/>
      <c r="I75" s="4"/>
      <c r="J75" s="4"/>
      <c r="K75" s="4"/>
      <c r="L75" s="4"/>
      <c r="M75" s="57"/>
      <c r="N75" s="66"/>
    </row>
    <row r="76" spans="3:14" s="1" customFormat="1" ht="12.75">
      <c r="C76" s="4"/>
      <c r="D76" s="4"/>
      <c r="E76" s="4"/>
      <c r="F76" s="4"/>
      <c r="G76" s="4"/>
      <c r="H76" s="4"/>
      <c r="I76" s="4"/>
      <c r="J76" s="4"/>
      <c r="K76" s="4"/>
      <c r="L76" s="4"/>
      <c r="M76" s="57"/>
      <c r="N76" s="66"/>
    </row>
    <row r="77" spans="3:14" s="1" customFormat="1" ht="12.75">
      <c r="C77" s="4"/>
      <c r="D77" s="4"/>
      <c r="E77" s="4"/>
      <c r="F77" s="4"/>
      <c r="G77" s="4"/>
      <c r="H77" s="4"/>
      <c r="I77" s="4"/>
      <c r="J77" s="4"/>
      <c r="K77" s="4"/>
      <c r="L77" s="4"/>
      <c r="M77" s="57"/>
      <c r="N77" s="66"/>
    </row>
    <row r="78" spans="3:14" s="1" customFormat="1" ht="12.75">
      <c r="C78" s="4"/>
      <c r="D78" s="4"/>
      <c r="E78" s="4"/>
      <c r="F78" s="4"/>
      <c r="G78" s="4"/>
      <c r="H78" s="4"/>
      <c r="I78" s="4"/>
      <c r="J78" s="4"/>
      <c r="K78" s="4"/>
      <c r="L78" s="4"/>
      <c r="M78" s="57"/>
      <c r="N78" s="66"/>
    </row>
    <row r="79" spans="3:14" s="1" customFormat="1" ht="12.75">
      <c r="C79" s="4"/>
      <c r="D79" s="4"/>
      <c r="E79" s="4"/>
      <c r="F79" s="4"/>
      <c r="G79" s="4"/>
      <c r="H79" s="4"/>
      <c r="I79" s="4"/>
      <c r="J79" s="4"/>
      <c r="K79" s="4"/>
      <c r="L79" s="4"/>
      <c r="M79" s="57"/>
      <c r="N79" s="66"/>
    </row>
    <row r="80" spans="3:14" s="1" customFormat="1" ht="12.75">
      <c r="C80" s="4"/>
      <c r="D80" s="4"/>
      <c r="E80" s="4"/>
      <c r="F80" s="4"/>
      <c r="G80" s="4"/>
      <c r="H80" s="4"/>
      <c r="I80" s="4"/>
      <c r="J80" s="4"/>
      <c r="K80" s="4"/>
      <c r="L80" s="4"/>
      <c r="M80" s="57"/>
      <c r="N80" s="66"/>
    </row>
    <row r="81" spans="3:14" s="1" customFormat="1" ht="12.75">
      <c r="C81" s="4"/>
      <c r="D81" s="4"/>
      <c r="E81" s="4"/>
      <c r="F81" s="4"/>
      <c r="G81" s="4"/>
      <c r="H81" s="4"/>
      <c r="I81" s="4"/>
      <c r="J81" s="4"/>
      <c r="K81" s="4"/>
      <c r="L81" s="4"/>
      <c r="M81" s="57"/>
      <c r="N81" s="66"/>
    </row>
    <row r="82" spans="3:14" s="1" customFormat="1" ht="12.75">
      <c r="C82" s="4"/>
      <c r="D82" s="4"/>
      <c r="E82" s="4"/>
      <c r="F82" s="4"/>
      <c r="G82" s="4"/>
      <c r="H82" s="4"/>
      <c r="I82" s="4"/>
      <c r="J82" s="4"/>
      <c r="K82" s="4"/>
      <c r="L82" s="4"/>
      <c r="M82" s="57"/>
      <c r="N82" s="66"/>
    </row>
    <row r="83" spans="3:14" s="1" customFormat="1" ht="12.75">
      <c r="C83" s="4"/>
      <c r="D83" s="4"/>
      <c r="E83" s="4"/>
      <c r="F83" s="4"/>
      <c r="G83" s="4"/>
      <c r="H83" s="4"/>
      <c r="I83" s="4"/>
      <c r="J83" s="4"/>
      <c r="K83" s="4"/>
      <c r="L83" s="4"/>
      <c r="M83" s="57"/>
      <c r="N83" s="66"/>
    </row>
    <row r="84" spans="3:14" s="1" customFormat="1" ht="12.75">
      <c r="C84" s="4"/>
      <c r="D84" s="4"/>
      <c r="E84" s="4"/>
      <c r="F84" s="4"/>
      <c r="G84" s="4"/>
      <c r="H84" s="4"/>
      <c r="I84" s="4"/>
      <c r="J84" s="4"/>
      <c r="K84" s="4"/>
      <c r="L84" s="4"/>
      <c r="M84" s="57"/>
      <c r="N84" s="66"/>
    </row>
    <row r="85" spans="3:14" s="1" customFormat="1" ht="12.75">
      <c r="C85" s="4"/>
      <c r="D85" s="4"/>
      <c r="E85" s="4"/>
      <c r="F85" s="4"/>
      <c r="G85" s="4"/>
      <c r="H85" s="4"/>
      <c r="I85" s="4"/>
      <c r="J85" s="4"/>
      <c r="K85" s="4"/>
      <c r="L85" s="4"/>
      <c r="M85" s="57"/>
      <c r="N85" s="66"/>
    </row>
    <row r="86" spans="3:14" s="1" customFormat="1" ht="12.75">
      <c r="C86" s="4"/>
      <c r="D86" s="4"/>
      <c r="E86" s="4"/>
      <c r="F86" s="4"/>
      <c r="G86" s="4"/>
      <c r="H86" s="4"/>
      <c r="I86" s="4"/>
      <c r="J86" s="4"/>
      <c r="K86" s="4"/>
      <c r="L86" s="4"/>
      <c r="M86" s="57"/>
      <c r="N86" s="66"/>
    </row>
    <row r="87" spans="3:14" s="1" customFormat="1" ht="12.75">
      <c r="C87" s="4"/>
      <c r="D87" s="4"/>
      <c r="E87" s="4"/>
      <c r="F87" s="4"/>
      <c r="G87" s="4"/>
      <c r="H87" s="4"/>
      <c r="I87" s="4"/>
      <c r="J87" s="4"/>
      <c r="K87" s="4"/>
      <c r="L87" s="4"/>
      <c r="M87" s="57"/>
      <c r="N87" s="66"/>
    </row>
    <row r="88" spans="3:14" s="1" customFormat="1" ht="12.75">
      <c r="C88" s="4"/>
      <c r="D88" s="4"/>
      <c r="E88" s="4"/>
      <c r="F88" s="4"/>
      <c r="G88" s="4"/>
      <c r="H88" s="4"/>
      <c r="I88" s="4"/>
      <c r="J88" s="4"/>
      <c r="K88" s="4"/>
      <c r="L88" s="4"/>
      <c r="M88" s="57"/>
      <c r="N88" s="66"/>
    </row>
    <row r="89" spans="3:14" s="1" customFormat="1" ht="12.75">
      <c r="C89" s="4"/>
      <c r="D89" s="4"/>
      <c r="E89" s="4"/>
      <c r="F89" s="4"/>
      <c r="G89" s="4"/>
      <c r="H89" s="4"/>
      <c r="I89" s="4"/>
      <c r="J89" s="4"/>
      <c r="K89" s="4"/>
      <c r="L89" s="4"/>
      <c r="M89" s="57"/>
      <c r="N89" s="66"/>
    </row>
    <row r="90" spans="3:14" s="1" customFormat="1" ht="12.75">
      <c r="C90" s="4"/>
      <c r="D90" s="4"/>
      <c r="E90" s="4"/>
      <c r="F90" s="4"/>
      <c r="G90" s="4"/>
      <c r="H90" s="4"/>
      <c r="I90" s="4"/>
      <c r="J90" s="4"/>
      <c r="K90" s="4"/>
      <c r="L90" s="4"/>
      <c r="M90" s="57"/>
      <c r="N90" s="66"/>
    </row>
    <row r="91" spans="3:14" s="1" customFormat="1" ht="12.75">
      <c r="C91" s="4"/>
      <c r="D91" s="4"/>
      <c r="E91" s="4"/>
      <c r="F91" s="4"/>
      <c r="G91" s="4"/>
      <c r="H91" s="4"/>
      <c r="I91" s="4"/>
      <c r="J91" s="4"/>
      <c r="K91" s="4"/>
      <c r="L91" s="4"/>
      <c r="M91" s="57"/>
      <c r="N91" s="66"/>
    </row>
    <row r="92" spans="3:14" s="1" customFormat="1" ht="12.75">
      <c r="C92" s="4"/>
      <c r="D92" s="4"/>
      <c r="E92" s="4"/>
      <c r="F92" s="4"/>
      <c r="G92" s="4"/>
      <c r="H92" s="4"/>
      <c r="I92" s="4"/>
      <c r="J92" s="4"/>
      <c r="K92" s="4"/>
      <c r="L92" s="4"/>
      <c r="M92" s="57"/>
      <c r="N92" s="66"/>
    </row>
    <row r="93" spans="3:14" s="1" customFormat="1" ht="12.75">
      <c r="C93" s="4"/>
      <c r="D93" s="4"/>
      <c r="E93" s="4"/>
      <c r="F93" s="4"/>
      <c r="G93" s="4"/>
      <c r="H93" s="4"/>
      <c r="I93" s="4"/>
      <c r="J93" s="4"/>
      <c r="K93" s="4"/>
      <c r="L93" s="4"/>
      <c r="M93" s="57"/>
      <c r="N93" s="66"/>
    </row>
    <row r="94" spans="3:14" s="1" customFormat="1" ht="12.75">
      <c r="C94" s="4"/>
      <c r="D94" s="4"/>
      <c r="E94" s="4"/>
      <c r="F94" s="4"/>
      <c r="G94" s="4"/>
      <c r="H94" s="4"/>
      <c r="I94" s="4"/>
      <c r="J94" s="4"/>
      <c r="K94" s="4"/>
      <c r="L94" s="4"/>
      <c r="M94" s="57"/>
      <c r="N94" s="66"/>
    </row>
    <row r="95" spans="3:14" s="1" customFormat="1" ht="12.75">
      <c r="C95" s="4"/>
      <c r="D95" s="4"/>
      <c r="E95" s="4"/>
      <c r="F95" s="4"/>
      <c r="G95" s="4"/>
      <c r="H95" s="4"/>
      <c r="I95" s="4"/>
      <c r="J95" s="4"/>
      <c r="K95" s="4"/>
      <c r="L95" s="4"/>
      <c r="M95" s="57"/>
      <c r="N95" s="66"/>
    </row>
    <row r="96" spans="3:14" s="1" customFormat="1" ht="12.75">
      <c r="C96" s="4"/>
      <c r="D96" s="4"/>
      <c r="E96" s="4"/>
      <c r="F96" s="4"/>
      <c r="G96" s="4"/>
      <c r="H96" s="4"/>
      <c r="I96" s="4"/>
      <c r="J96" s="4"/>
      <c r="K96" s="4"/>
      <c r="L96" s="4"/>
      <c r="M96" s="57"/>
      <c r="N96" s="66"/>
    </row>
    <row r="97" spans="3:14" s="1" customFormat="1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57"/>
      <c r="N97" s="66"/>
    </row>
    <row r="98" spans="3:14" s="1" customFormat="1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57"/>
      <c r="N98" s="66"/>
    </row>
    <row r="99" spans="3:14" s="1" customFormat="1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57"/>
      <c r="N99" s="66"/>
    </row>
    <row r="100" spans="3:14" s="1" customFormat="1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7"/>
      <c r="N100" s="66"/>
    </row>
    <row r="101" spans="3:14" s="1" customFormat="1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57"/>
      <c r="N101" s="66"/>
    </row>
    <row r="102" spans="3:14" s="1" customFormat="1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57"/>
      <c r="N102" s="66"/>
    </row>
    <row r="103" spans="3:14" s="1" customFormat="1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57"/>
      <c r="N103" s="66"/>
    </row>
    <row r="104" spans="3:14" s="1" customFormat="1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57"/>
      <c r="N104" s="66"/>
    </row>
    <row r="105" spans="3:14" s="1" customFormat="1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57"/>
      <c r="N105" s="66"/>
    </row>
    <row r="106" spans="3:14" s="1" customFormat="1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57"/>
      <c r="N106" s="66"/>
    </row>
    <row r="107" spans="3:14" s="1" customFormat="1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57"/>
      <c r="N107" s="66"/>
    </row>
    <row r="108" spans="3:14" s="1" customFormat="1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57"/>
      <c r="N108" s="66"/>
    </row>
    <row r="109" spans="3:14" s="1" customFormat="1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57"/>
      <c r="N109" s="66"/>
    </row>
    <row r="110" spans="3:14" s="1" customFormat="1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57"/>
      <c r="N110" s="66"/>
    </row>
    <row r="111" spans="3:14" s="1" customFormat="1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57"/>
      <c r="N111" s="66"/>
    </row>
    <row r="112" spans="3:14" s="1" customFormat="1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57"/>
      <c r="N112" s="66"/>
    </row>
    <row r="113" spans="3:14" s="1" customFormat="1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57"/>
      <c r="N113" s="66"/>
    </row>
    <row r="114" spans="3:14" s="1" customFormat="1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57"/>
      <c r="N114" s="66"/>
    </row>
    <row r="115" spans="3:14" s="1" customFormat="1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57"/>
      <c r="N115" s="66"/>
    </row>
    <row r="116" spans="3:14" s="1" customFormat="1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57"/>
      <c r="N116" s="66"/>
    </row>
    <row r="117" spans="3:14" s="1" customFormat="1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57"/>
      <c r="N117" s="66"/>
    </row>
    <row r="118" spans="3:14" s="1" customFormat="1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57"/>
      <c r="N118" s="66"/>
    </row>
    <row r="119" spans="3:14" s="1" customFormat="1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57"/>
      <c r="N119" s="66"/>
    </row>
    <row r="120" spans="3:14" s="1" customFormat="1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57"/>
      <c r="N120" s="66"/>
    </row>
    <row r="121" spans="3:14" s="1" customFormat="1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57"/>
      <c r="N121" s="66"/>
    </row>
    <row r="122" spans="3:14" s="1" customFormat="1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57"/>
      <c r="N122" s="66"/>
    </row>
    <row r="123" spans="3:14" s="1" customFormat="1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57"/>
      <c r="N123" s="66"/>
    </row>
    <row r="124" spans="3:14" s="1" customFormat="1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57"/>
      <c r="N124" s="66"/>
    </row>
    <row r="125" spans="3:14" s="1" customFormat="1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57"/>
      <c r="N125" s="66"/>
    </row>
    <row r="126" spans="3:14" s="1" customFormat="1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57"/>
      <c r="N126" s="66"/>
    </row>
    <row r="127" spans="3:14" s="1" customFormat="1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57"/>
      <c r="N127" s="66"/>
    </row>
    <row r="128" spans="3:14" s="1" customFormat="1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57"/>
      <c r="N128" s="66"/>
    </row>
    <row r="129" spans="3:14" s="1" customFormat="1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57"/>
      <c r="N129" s="66"/>
    </row>
    <row r="130" spans="3:14" s="1" customFormat="1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57"/>
      <c r="N130" s="66"/>
    </row>
    <row r="131" spans="3:14" s="1" customFormat="1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57"/>
      <c r="N131" s="66"/>
    </row>
    <row r="132" spans="3:14" s="1" customFormat="1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57"/>
      <c r="N132" s="66"/>
    </row>
  </sheetData>
  <sheetProtection/>
  <mergeCells count="13">
    <mergeCell ref="A1:M1"/>
    <mergeCell ref="F29:G29"/>
    <mergeCell ref="H29:I29"/>
    <mergeCell ref="J29:K29"/>
    <mergeCell ref="F30:G30"/>
    <mergeCell ref="H30:I30"/>
    <mergeCell ref="J30:K30"/>
    <mergeCell ref="F31:G31"/>
    <mergeCell ref="F32:G32"/>
    <mergeCell ref="H32:I32"/>
    <mergeCell ref="J32:K32"/>
    <mergeCell ref="J31:K31"/>
    <mergeCell ref="H31:I31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O151"/>
  <sheetViews>
    <sheetView zoomScale="80" zoomScaleNormal="80" zoomScalePageLayoutView="0" workbookViewId="0" topLeftCell="A7">
      <selection activeCell="O21" sqref="O21"/>
    </sheetView>
  </sheetViews>
  <sheetFormatPr defaultColWidth="9.140625" defaultRowHeight="12.75"/>
  <cols>
    <col min="1" max="1" width="7.00390625" style="0" customWidth="1"/>
    <col min="2" max="2" width="21.57421875" style="0" customWidth="1"/>
    <col min="3" max="5" width="17.7109375" style="3" customWidth="1"/>
    <col min="6" max="11" width="4.7109375" style="3" customWidth="1"/>
    <col min="12" max="12" width="8.7109375" style="3" customWidth="1"/>
    <col min="13" max="13" width="5.28125" style="50" customWidth="1"/>
    <col min="14" max="14" width="9.140625" style="76" customWidth="1"/>
  </cols>
  <sheetData>
    <row r="1" spans="1:13" ht="16.5" customHeight="1">
      <c r="A1" s="505" t="s">
        <v>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</row>
    <row r="2" spans="1:13" ht="30" customHeight="1">
      <c r="A2" s="23"/>
      <c r="B2" s="24"/>
      <c r="C2" s="25"/>
      <c r="D2" s="26" t="s">
        <v>18</v>
      </c>
      <c r="E2" s="25"/>
      <c r="F2" s="24"/>
      <c r="G2" s="24"/>
      <c r="H2" s="24"/>
      <c r="I2" s="24"/>
      <c r="J2" s="24"/>
      <c r="K2" s="24"/>
      <c r="L2" s="24"/>
      <c r="M2" s="65"/>
    </row>
    <row r="3" spans="1:8" ht="16.5" customHeight="1">
      <c r="A3" s="10" t="s">
        <v>31</v>
      </c>
      <c r="B3" s="11" t="s">
        <v>322</v>
      </c>
      <c r="C3" s="11"/>
      <c r="D3" s="11"/>
      <c r="E3" s="11"/>
      <c r="F3" s="11"/>
      <c r="G3" s="11"/>
      <c r="H3" s="11"/>
    </row>
    <row r="4" spans="1:5" ht="15.75">
      <c r="A4" s="19" t="s">
        <v>1</v>
      </c>
      <c r="B4" s="20"/>
      <c r="C4" s="506" t="s">
        <v>331</v>
      </c>
      <c r="D4" s="506"/>
      <c r="E4" s="21"/>
    </row>
    <row r="5" spans="1:5" ht="15.75">
      <c r="A5" s="19" t="s">
        <v>2</v>
      </c>
      <c r="B5" s="20"/>
      <c r="C5" s="22" t="s">
        <v>4</v>
      </c>
      <c r="D5" s="21"/>
      <c r="E5" s="21"/>
    </row>
    <row r="6" spans="1:5" ht="15.75">
      <c r="A6" s="19" t="s">
        <v>3</v>
      </c>
      <c r="B6" s="20"/>
      <c r="C6" s="22" t="s">
        <v>45</v>
      </c>
      <c r="D6" s="21"/>
      <c r="E6" s="21"/>
    </row>
    <row r="7" spans="3:14" s="1" customFormat="1" ht="12.75">
      <c r="C7" s="4"/>
      <c r="D7" s="4"/>
      <c r="E7" s="4"/>
      <c r="F7" s="4"/>
      <c r="G7" s="4"/>
      <c r="H7" s="4"/>
      <c r="I7" s="4"/>
      <c r="J7" s="4"/>
      <c r="K7" s="4"/>
      <c r="L7" s="4"/>
      <c r="M7" s="57"/>
      <c r="N7" s="66"/>
    </row>
    <row r="8" spans="1:14" s="1" customFormat="1" ht="12.75" customHeight="1">
      <c r="A8" s="6" t="s">
        <v>19</v>
      </c>
      <c r="B8" s="7"/>
      <c r="C8" s="8"/>
      <c r="D8" s="8"/>
      <c r="E8" s="8"/>
      <c r="F8" s="7"/>
      <c r="G8" s="7"/>
      <c r="H8" s="7"/>
      <c r="I8" s="7"/>
      <c r="J8" s="7"/>
      <c r="K8" s="7"/>
      <c r="L8" s="7"/>
      <c r="M8" s="58"/>
      <c r="N8" s="66"/>
    </row>
    <row r="9" spans="1:14" s="1" customFormat="1" ht="25.5" customHeight="1">
      <c r="A9" s="2" t="s">
        <v>8</v>
      </c>
      <c r="B9" s="18" t="s">
        <v>9</v>
      </c>
      <c r="C9" s="18" t="s">
        <v>5</v>
      </c>
      <c r="D9" s="18" t="s">
        <v>6</v>
      </c>
      <c r="E9" s="18" t="s">
        <v>7</v>
      </c>
      <c r="F9" s="2" t="s">
        <v>38</v>
      </c>
      <c r="G9" s="2" t="s">
        <v>39</v>
      </c>
      <c r="H9" s="2" t="s">
        <v>40</v>
      </c>
      <c r="I9" s="2" t="s">
        <v>41</v>
      </c>
      <c r="J9" s="2" t="s">
        <v>42</v>
      </c>
      <c r="K9" s="2" t="s">
        <v>43</v>
      </c>
      <c r="L9" s="17" t="s">
        <v>10</v>
      </c>
      <c r="M9" s="59" t="s">
        <v>44</v>
      </c>
      <c r="N9" s="471" t="s">
        <v>505</v>
      </c>
    </row>
    <row r="10" spans="1:14" s="1" customFormat="1" ht="12.75">
      <c r="A10" s="5" t="s">
        <v>22</v>
      </c>
      <c r="B10" s="15"/>
      <c r="C10" s="4"/>
      <c r="D10" s="4"/>
      <c r="E10" s="34"/>
      <c r="F10" s="12"/>
      <c r="G10" s="12"/>
      <c r="H10" s="12"/>
      <c r="I10" s="12"/>
      <c r="J10" s="12"/>
      <c r="K10" s="12"/>
      <c r="L10" s="9">
        <f>SUM(F10:K10)</f>
        <v>0</v>
      </c>
      <c r="M10" s="60"/>
      <c r="N10" s="66"/>
    </row>
    <row r="11" spans="1:14" s="1" customFormat="1" ht="12.75">
      <c r="A11" s="5" t="s">
        <v>23</v>
      </c>
      <c r="B11" s="33"/>
      <c r="C11" s="34"/>
      <c r="D11" s="34"/>
      <c r="E11" s="34"/>
      <c r="F11" s="12"/>
      <c r="G11" s="12"/>
      <c r="H11" s="12"/>
      <c r="I11" s="12"/>
      <c r="J11" s="12"/>
      <c r="K11" s="12"/>
      <c r="L11" s="9">
        <f aca="true" t="shared" si="0" ref="L11:L19">SUM(F11:K11)</f>
        <v>0</v>
      </c>
      <c r="M11" s="60"/>
      <c r="N11" s="66"/>
    </row>
    <row r="12" spans="1:14" s="1" customFormat="1" ht="12.75">
      <c r="A12" s="5" t="s">
        <v>24</v>
      </c>
      <c r="B12" s="13"/>
      <c r="C12" s="12"/>
      <c r="D12" s="12"/>
      <c r="E12" s="4"/>
      <c r="F12" s="12"/>
      <c r="G12" s="12"/>
      <c r="H12" s="12"/>
      <c r="I12" s="12"/>
      <c r="J12" s="12"/>
      <c r="K12" s="12"/>
      <c r="L12" s="9">
        <f t="shared" si="0"/>
        <v>0</v>
      </c>
      <c r="M12" s="60"/>
      <c r="N12" s="66"/>
    </row>
    <row r="13" spans="1:14" s="1" customFormat="1" ht="14.25">
      <c r="A13" s="5" t="s">
        <v>25</v>
      </c>
      <c r="B13" s="33"/>
      <c r="C13" s="87"/>
      <c r="D13" s="12"/>
      <c r="E13" s="87"/>
      <c r="F13" s="12"/>
      <c r="G13" s="12"/>
      <c r="H13" s="12"/>
      <c r="I13" s="12"/>
      <c r="J13" s="12"/>
      <c r="K13" s="12"/>
      <c r="L13" s="9">
        <f t="shared" si="0"/>
        <v>0</v>
      </c>
      <c r="M13" s="60"/>
      <c r="N13" s="66"/>
    </row>
    <row r="14" spans="1:14" s="1" customFormat="1" ht="14.25">
      <c r="A14" s="5" t="s">
        <v>26</v>
      </c>
      <c r="B14" s="33"/>
      <c r="C14" s="87"/>
      <c r="D14" s="12"/>
      <c r="E14" s="87"/>
      <c r="F14" s="12"/>
      <c r="G14" s="12"/>
      <c r="H14" s="12"/>
      <c r="I14" s="12"/>
      <c r="J14" s="12"/>
      <c r="K14" s="12"/>
      <c r="L14" s="9">
        <f t="shared" si="0"/>
        <v>0</v>
      </c>
      <c r="M14" s="60"/>
      <c r="N14" s="66"/>
    </row>
    <row r="15" spans="1:14" s="1" customFormat="1" ht="14.25">
      <c r="A15" s="5" t="s">
        <v>27</v>
      </c>
      <c r="B15" s="33"/>
      <c r="C15" s="87"/>
      <c r="D15" s="12"/>
      <c r="E15" s="87"/>
      <c r="F15" s="12"/>
      <c r="G15" s="12"/>
      <c r="H15" s="12"/>
      <c r="I15" s="12"/>
      <c r="J15" s="12"/>
      <c r="K15" s="12"/>
      <c r="L15" s="9">
        <f t="shared" si="0"/>
        <v>0</v>
      </c>
      <c r="M15" s="60"/>
      <c r="N15" s="66"/>
    </row>
    <row r="16" spans="1:14" s="1" customFormat="1" ht="14.25">
      <c r="A16" s="5" t="s">
        <v>28</v>
      </c>
      <c r="B16" s="33"/>
      <c r="C16" s="87"/>
      <c r="D16" s="12"/>
      <c r="E16" s="87"/>
      <c r="F16" s="12"/>
      <c r="G16" s="12"/>
      <c r="H16" s="12"/>
      <c r="I16" s="12"/>
      <c r="J16" s="12"/>
      <c r="K16" s="12"/>
      <c r="L16" s="9">
        <f t="shared" si="0"/>
        <v>0</v>
      </c>
      <c r="M16" s="60"/>
      <c r="N16" s="66"/>
    </row>
    <row r="17" spans="1:14" s="1" customFormat="1" ht="14.25">
      <c r="A17" s="5" t="s">
        <v>29</v>
      </c>
      <c r="B17" s="33"/>
      <c r="C17" s="87"/>
      <c r="D17" s="12"/>
      <c r="E17" s="87"/>
      <c r="F17" s="12"/>
      <c r="G17" s="12"/>
      <c r="H17" s="12"/>
      <c r="I17" s="12"/>
      <c r="J17" s="12"/>
      <c r="K17" s="12"/>
      <c r="L17" s="9">
        <f t="shared" si="0"/>
        <v>0</v>
      </c>
      <c r="M17" s="60"/>
      <c r="N17" s="66"/>
    </row>
    <row r="18" spans="1:14" s="1" customFormat="1" ht="14.25">
      <c r="A18" s="5" t="s">
        <v>30</v>
      </c>
      <c r="B18" s="33"/>
      <c r="C18" s="87"/>
      <c r="D18" s="12"/>
      <c r="E18" s="87"/>
      <c r="F18" s="12"/>
      <c r="G18" s="12"/>
      <c r="H18" s="12"/>
      <c r="I18" s="12"/>
      <c r="J18" s="12"/>
      <c r="K18" s="12"/>
      <c r="L18" s="9">
        <f t="shared" si="0"/>
        <v>0</v>
      </c>
      <c r="M18" s="60"/>
      <c r="N18" s="66"/>
    </row>
    <row r="19" spans="1:14" s="1" customFormat="1" ht="12.75">
      <c r="A19" s="5" t="s">
        <v>31</v>
      </c>
      <c r="B19" s="200"/>
      <c r="C19" s="108"/>
      <c r="D19" s="201"/>
      <c r="E19" s="108"/>
      <c r="F19" s="12"/>
      <c r="G19" s="12"/>
      <c r="H19" s="12"/>
      <c r="I19" s="12"/>
      <c r="J19" s="12"/>
      <c r="K19" s="12"/>
      <c r="L19" s="9">
        <f t="shared" si="0"/>
        <v>0</v>
      </c>
      <c r="M19" s="60"/>
      <c r="N19" s="66"/>
    </row>
    <row r="20" spans="1:14" s="1" customFormat="1" ht="24.75" customHeight="1">
      <c r="A20" s="6" t="s">
        <v>20</v>
      </c>
      <c r="B20" s="7"/>
      <c r="C20" s="8"/>
      <c r="D20" s="8"/>
      <c r="E20" s="8"/>
      <c r="F20" s="7"/>
      <c r="G20" s="7"/>
      <c r="H20" s="7"/>
      <c r="I20" s="7"/>
      <c r="J20" s="7"/>
      <c r="K20" s="7"/>
      <c r="L20" s="7"/>
      <c r="M20" s="58"/>
      <c r="N20" s="66"/>
    </row>
    <row r="21" spans="1:15" s="1" customFormat="1" ht="25.5" customHeight="1">
      <c r="A21" s="2" t="s">
        <v>8</v>
      </c>
      <c r="B21" s="18" t="s">
        <v>9</v>
      </c>
      <c r="C21" s="18" t="s">
        <v>5</v>
      </c>
      <c r="D21" s="18" t="s">
        <v>6</v>
      </c>
      <c r="E21" s="18" t="s">
        <v>7</v>
      </c>
      <c r="F21" s="2" t="s">
        <v>38</v>
      </c>
      <c r="G21" s="2" t="s">
        <v>39</v>
      </c>
      <c r="H21" s="2" t="s">
        <v>40</v>
      </c>
      <c r="I21" s="2" t="s">
        <v>41</v>
      </c>
      <c r="J21" s="2" t="s">
        <v>42</v>
      </c>
      <c r="K21" s="2" t="s">
        <v>43</v>
      </c>
      <c r="L21" s="17" t="s">
        <v>10</v>
      </c>
      <c r="M21" s="59" t="s">
        <v>44</v>
      </c>
      <c r="N21" s="67" t="s">
        <v>100</v>
      </c>
      <c r="O21" s="471" t="s">
        <v>505</v>
      </c>
    </row>
    <row r="22" spans="1:14" s="1" customFormat="1" ht="12.75">
      <c r="A22" s="5" t="s">
        <v>22</v>
      </c>
      <c r="B22" s="137"/>
      <c r="C22" s="55"/>
      <c r="D22" s="155"/>
      <c r="E22" s="55"/>
      <c r="F22" s="4"/>
      <c r="G22" s="4"/>
      <c r="H22" s="4"/>
      <c r="I22" s="4"/>
      <c r="J22" s="4"/>
      <c r="K22" s="4"/>
      <c r="L22" s="9">
        <f>SUM(F22:K22)</f>
        <v>0</v>
      </c>
      <c r="M22" s="57"/>
      <c r="N22" s="66">
        <f aca="true" t="shared" si="1" ref="N22:N40">SUM(F22:I22)</f>
        <v>0</v>
      </c>
    </row>
    <row r="23" spans="1:14" s="1" customFormat="1" ht="12.75">
      <c r="A23" s="5" t="s">
        <v>23</v>
      </c>
      <c r="B23" s="15"/>
      <c r="C23" s="4"/>
      <c r="D23" s="4"/>
      <c r="E23" s="107"/>
      <c r="F23" s="4"/>
      <c r="G23" s="4"/>
      <c r="H23" s="4"/>
      <c r="I23" s="4"/>
      <c r="J23" s="4"/>
      <c r="K23" s="4"/>
      <c r="L23" s="9">
        <f aca="true" t="shared" si="2" ref="L23:L41">SUM(F23:K23)</f>
        <v>0</v>
      </c>
      <c r="M23" s="57"/>
      <c r="N23" s="66">
        <f t="shared" si="1"/>
        <v>0</v>
      </c>
    </row>
    <row r="24" spans="1:14" s="1" customFormat="1" ht="12.75">
      <c r="A24" s="5" t="s">
        <v>24</v>
      </c>
      <c r="B24" s="137"/>
      <c r="C24" s="55"/>
      <c r="D24" s="155"/>
      <c r="E24" s="55"/>
      <c r="F24" s="4"/>
      <c r="G24" s="4"/>
      <c r="H24" s="4"/>
      <c r="I24" s="4"/>
      <c r="J24" s="4"/>
      <c r="K24" s="4"/>
      <c r="L24" s="9">
        <f t="shared" si="2"/>
        <v>0</v>
      </c>
      <c r="M24" s="57"/>
      <c r="N24" s="66">
        <f t="shared" si="1"/>
        <v>0</v>
      </c>
    </row>
    <row r="25" spans="1:14" s="1" customFormat="1" ht="12.75">
      <c r="A25" s="5" t="s">
        <v>25</v>
      </c>
      <c r="C25" s="4"/>
      <c r="D25" s="4"/>
      <c r="E25" s="4"/>
      <c r="F25" s="4"/>
      <c r="G25" s="4"/>
      <c r="H25" s="4"/>
      <c r="I25" s="4"/>
      <c r="J25" s="4"/>
      <c r="K25" s="4"/>
      <c r="L25" s="9">
        <f t="shared" si="2"/>
        <v>0</v>
      </c>
      <c r="M25" s="57"/>
      <c r="N25" s="66">
        <f t="shared" si="1"/>
        <v>0</v>
      </c>
    </row>
    <row r="26" spans="1:14" s="1" customFormat="1" ht="12.75">
      <c r="A26" s="5" t="s">
        <v>26</v>
      </c>
      <c r="B26" s="15"/>
      <c r="C26" s="4"/>
      <c r="D26" s="77"/>
      <c r="E26" s="4"/>
      <c r="F26" s="4"/>
      <c r="G26" s="4"/>
      <c r="H26" s="4"/>
      <c r="I26" s="4"/>
      <c r="J26" s="4"/>
      <c r="K26" s="4"/>
      <c r="L26" s="9">
        <f t="shared" si="2"/>
        <v>0</v>
      </c>
      <c r="M26" s="57"/>
      <c r="N26" s="66">
        <f t="shared" si="1"/>
        <v>0</v>
      </c>
    </row>
    <row r="27" spans="1:14" s="1" customFormat="1" ht="12.75">
      <c r="A27" s="5" t="s">
        <v>27</v>
      </c>
      <c r="B27" s="15"/>
      <c r="C27" s="4"/>
      <c r="D27" s="4"/>
      <c r="E27" s="4"/>
      <c r="F27" s="4"/>
      <c r="G27" s="4"/>
      <c r="H27" s="4"/>
      <c r="I27" s="4"/>
      <c r="J27" s="4"/>
      <c r="K27" s="4"/>
      <c r="L27" s="9">
        <f t="shared" si="2"/>
        <v>0</v>
      </c>
      <c r="M27" s="57"/>
      <c r="N27" s="66">
        <f t="shared" si="1"/>
        <v>0</v>
      </c>
    </row>
    <row r="28" spans="1:14" s="1" customFormat="1" ht="12.75">
      <c r="A28" s="5" t="s">
        <v>28</v>
      </c>
      <c r="B28" s="15"/>
      <c r="C28" s="4"/>
      <c r="D28" s="4"/>
      <c r="E28" s="4"/>
      <c r="F28" s="4"/>
      <c r="G28" s="4"/>
      <c r="H28" s="4"/>
      <c r="I28" s="4"/>
      <c r="J28" s="4"/>
      <c r="K28" s="4"/>
      <c r="L28" s="9">
        <f t="shared" si="2"/>
        <v>0</v>
      </c>
      <c r="M28" s="57"/>
      <c r="N28" s="66">
        <f t="shared" si="1"/>
        <v>0</v>
      </c>
    </row>
    <row r="29" spans="1:14" s="1" customFormat="1" ht="12.75">
      <c r="A29" s="5" t="s">
        <v>29</v>
      </c>
      <c r="B29" s="137"/>
      <c r="C29" s="55"/>
      <c r="D29" s="155"/>
      <c r="E29" s="55"/>
      <c r="F29" s="4"/>
      <c r="G29" s="4"/>
      <c r="H29" s="4"/>
      <c r="I29" s="4"/>
      <c r="J29" s="4"/>
      <c r="K29" s="4"/>
      <c r="L29" s="9">
        <f t="shared" si="2"/>
        <v>0</v>
      </c>
      <c r="M29" s="57"/>
      <c r="N29" s="66">
        <f t="shared" si="1"/>
        <v>0</v>
      </c>
    </row>
    <row r="30" spans="1:14" s="1" customFormat="1" ht="12.75">
      <c r="A30" s="5" t="s">
        <v>30</v>
      </c>
      <c r="B30" s="137"/>
      <c r="C30" s="55"/>
      <c r="D30" s="155"/>
      <c r="E30" s="55"/>
      <c r="F30" s="4"/>
      <c r="G30" s="4"/>
      <c r="H30" s="4"/>
      <c r="I30" s="4"/>
      <c r="J30" s="4"/>
      <c r="K30" s="4"/>
      <c r="L30" s="9">
        <f t="shared" si="2"/>
        <v>0</v>
      </c>
      <c r="M30" s="57"/>
      <c r="N30" s="66">
        <f t="shared" si="1"/>
        <v>0</v>
      </c>
    </row>
    <row r="31" spans="1:14" s="1" customFormat="1" ht="12.75">
      <c r="A31" s="5" t="s">
        <v>31</v>
      </c>
      <c r="B31" s="137"/>
      <c r="C31" s="55"/>
      <c r="D31" s="155"/>
      <c r="E31" s="55"/>
      <c r="F31" s="4"/>
      <c r="G31" s="4"/>
      <c r="H31" s="4"/>
      <c r="I31" s="4"/>
      <c r="J31" s="4"/>
      <c r="K31" s="4"/>
      <c r="L31" s="9">
        <f t="shared" si="2"/>
        <v>0</v>
      </c>
      <c r="M31" s="57"/>
      <c r="N31" s="66">
        <f t="shared" si="1"/>
        <v>0</v>
      </c>
    </row>
    <row r="32" spans="1:14" s="1" customFormat="1" ht="12.75">
      <c r="A32" s="5" t="s">
        <v>32</v>
      </c>
      <c r="B32" s="137"/>
      <c r="C32" s="55"/>
      <c r="D32" s="155"/>
      <c r="E32" s="55"/>
      <c r="F32" s="4"/>
      <c r="G32" s="4"/>
      <c r="H32" s="4"/>
      <c r="I32" s="4"/>
      <c r="J32" s="4"/>
      <c r="K32" s="4"/>
      <c r="L32" s="9">
        <f t="shared" si="2"/>
        <v>0</v>
      </c>
      <c r="M32" s="57"/>
      <c r="N32" s="66">
        <f t="shared" si="1"/>
        <v>0</v>
      </c>
    </row>
    <row r="33" spans="1:14" s="1" customFormat="1" ht="12.75">
      <c r="A33" s="5" t="s">
        <v>33</v>
      </c>
      <c r="B33" s="137"/>
      <c r="C33" s="55"/>
      <c r="D33" s="155"/>
      <c r="E33" s="55"/>
      <c r="F33" s="4"/>
      <c r="G33" s="4"/>
      <c r="H33" s="4"/>
      <c r="I33" s="4"/>
      <c r="J33" s="4"/>
      <c r="K33" s="4"/>
      <c r="L33" s="9">
        <f t="shared" si="2"/>
        <v>0</v>
      </c>
      <c r="M33" s="57"/>
      <c r="N33" s="66">
        <f t="shared" si="1"/>
        <v>0</v>
      </c>
    </row>
    <row r="34" spans="1:14" s="1" customFormat="1" ht="12.75">
      <c r="A34" s="5" t="s">
        <v>34</v>
      </c>
      <c r="B34" s="137"/>
      <c r="C34" s="55"/>
      <c r="D34" s="155"/>
      <c r="E34" s="55"/>
      <c r="F34" s="4"/>
      <c r="G34" s="4"/>
      <c r="H34" s="4"/>
      <c r="I34" s="4"/>
      <c r="J34" s="4"/>
      <c r="K34" s="4"/>
      <c r="L34" s="9">
        <f t="shared" si="2"/>
        <v>0</v>
      </c>
      <c r="M34" s="57"/>
      <c r="N34" s="66">
        <f t="shared" si="1"/>
        <v>0</v>
      </c>
    </row>
    <row r="35" spans="1:14" s="1" customFormat="1" ht="12.75">
      <c r="A35" s="5" t="s">
        <v>35</v>
      </c>
      <c r="B35" s="137"/>
      <c r="C35" s="55"/>
      <c r="D35" s="155"/>
      <c r="E35" s="55"/>
      <c r="F35" s="4"/>
      <c r="G35" s="4"/>
      <c r="H35" s="4"/>
      <c r="I35" s="4"/>
      <c r="J35" s="4"/>
      <c r="K35" s="4"/>
      <c r="L35" s="9">
        <f t="shared" si="2"/>
        <v>0</v>
      </c>
      <c r="M35" s="57"/>
      <c r="N35" s="66">
        <f t="shared" si="1"/>
        <v>0</v>
      </c>
    </row>
    <row r="36" spans="1:14" s="1" customFormat="1" ht="12.75">
      <c r="A36" s="5" t="s">
        <v>36</v>
      </c>
      <c r="B36" s="137"/>
      <c r="C36" s="55"/>
      <c r="D36" s="155"/>
      <c r="E36" s="55"/>
      <c r="F36" s="4"/>
      <c r="G36" s="4"/>
      <c r="H36" s="4"/>
      <c r="I36" s="4"/>
      <c r="J36" s="4"/>
      <c r="K36" s="4"/>
      <c r="L36" s="9">
        <f t="shared" si="2"/>
        <v>0</v>
      </c>
      <c r="M36" s="57"/>
      <c r="N36" s="66">
        <f t="shared" si="1"/>
        <v>0</v>
      </c>
    </row>
    <row r="37" spans="1:14" s="1" customFormat="1" ht="12.75">
      <c r="A37" s="5" t="s">
        <v>37</v>
      </c>
      <c r="B37" s="15"/>
      <c r="C37" s="4"/>
      <c r="D37" s="4"/>
      <c r="E37" s="55"/>
      <c r="F37" s="4"/>
      <c r="G37" s="4"/>
      <c r="H37" s="4"/>
      <c r="I37" s="4"/>
      <c r="J37" s="4"/>
      <c r="K37" s="4"/>
      <c r="L37" s="9">
        <f t="shared" si="2"/>
        <v>0</v>
      </c>
      <c r="M37" s="57"/>
      <c r="N37" s="66">
        <f t="shared" si="1"/>
        <v>0</v>
      </c>
    </row>
    <row r="38" spans="1:14" s="1" customFormat="1" ht="12.75">
      <c r="A38" s="5" t="s">
        <v>160</v>
      </c>
      <c r="B38" s="137"/>
      <c r="C38" s="55"/>
      <c r="D38" s="155"/>
      <c r="E38" s="55"/>
      <c r="F38" s="4"/>
      <c r="G38" s="4"/>
      <c r="H38" s="4"/>
      <c r="I38" s="4"/>
      <c r="J38" s="4"/>
      <c r="K38" s="4"/>
      <c r="L38" s="9">
        <f t="shared" si="2"/>
        <v>0</v>
      </c>
      <c r="M38" s="57"/>
      <c r="N38" s="66">
        <f t="shared" si="1"/>
        <v>0</v>
      </c>
    </row>
    <row r="39" spans="1:14" s="1" customFormat="1" ht="12.75">
      <c r="A39" s="5" t="s">
        <v>161</v>
      </c>
      <c r="C39" s="4"/>
      <c r="D39" s="4"/>
      <c r="E39" s="4"/>
      <c r="F39" s="4"/>
      <c r="G39" s="4"/>
      <c r="H39" s="4"/>
      <c r="I39" s="4"/>
      <c r="J39" s="4"/>
      <c r="K39" s="4"/>
      <c r="L39" s="9">
        <f t="shared" si="2"/>
        <v>0</v>
      </c>
      <c r="M39" s="57"/>
      <c r="N39" s="66">
        <f t="shared" si="1"/>
        <v>0</v>
      </c>
    </row>
    <row r="40" spans="1:14" s="1" customFormat="1" ht="12.75">
      <c r="A40" s="5" t="s">
        <v>162</v>
      </c>
      <c r="C40" s="4"/>
      <c r="D40" s="4"/>
      <c r="E40" s="55"/>
      <c r="F40" s="4"/>
      <c r="G40" s="4"/>
      <c r="H40" s="4"/>
      <c r="I40" s="4"/>
      <c r="J40" s="4"/>
      <c r="K40" s="4"/>
      <c r="L40" s="9">
        <f t="shared" si="2"/>
        <v>0</v>
      </c>
      <c r="M40" s="57"/>
      <c r="N40" s="66">
        <f t="shared" si="1"/>
        <v>0</v>
      </c>
    </row>
    <row r="41" spans="1:14" s="1" customFormat="1" ht="12.75">
      <c r="A41" s="5" t="s">
        <v>181</v>
      </c>
      <c r="B41" s="15"/>
      <c r="C41" s="4"/>
      <c r="D41" s="77"/>
      <c r="E41" s="4"/>
      <c r="F41" s="4"/>
      <c r="G41" s="4"/>
      <c r="H41" s="4"/>
      <c r="I41" s="4"/>
      <c r="J41" s="4"/>
      <c r="K41" s="4"/>
      <c r="L41" s="9">
        <f t="shared" si="2"/>
        <v>0</v>
      </c>
      <c r="M41" s="57"/>
      <c r="N41" s="66"/>
    </row>
    <row r="42" spans="1:14" s="1" customFormat="1" ht="24.75" customHeight="1">
      <c r="A42" s="6" t="s">
        <v>21</v>
      </c>
      <c r="B42" s="7"/>
      <c r="C42" s="8"/>
      <c r="D42" s="8"/>
      <c r="E42" s="8"/>
      <c r="F42" s="7"/>
      <c r="G42" s="7"/>
      <c r="H42" s="7"/>
      <c r="I42" s="7"/>
      <c r="J42" s="7"/>
      <c r="K42" s="7"/>
      <c r="L42" s="7"/>
      <c r="M42" s="58"/>
      <c r="N42" s="66"/>
    </row>
    <row r="43" spans="1:14" s="1" customFormat="1" ht="25.5" customHeight="1">
      <c r="A43" s="2" t="s">
        <v>8</v>
      </c>
      <c r="B43" s="18" t="s">
        <v>17</v>
      </c>
      <c r="C43" s="18" t="s">
        <v>11</v>
      </c>
      <c r="D43" s="18" t="s">
        <v>12</v>
      </c>
      <c r="E43" s="18" t="s">
        <v>13</v>
      </c>
      <c r="F43" s="507" t="s">
        <v>14</v>
      </c>
      <c r="G43" s="507"/>
      <c r="H43" s="507" t="s">
        <v>15</v>
      </c>
      <c r="I43" s="507"/>
      <c r="J43" s="507" t="s">
        <v>16</v>
      </c>
      <c r="K43" s="507"/>
      <c r="L43" s="17" t="s">
        <v>10</v>
      </c>
      <c r="M43" s="59"/>
      <c r="N43" s="66"/>
    </row>
    <row r="44" spans="1:14" s="1" customFormat="1" ht="12.75">
      <c r="A44" s="5" t="s">
        <v>22</v>
      </c>
      <c r="B44" s="331"/>
      <c r="C44" s="8"/>
      <c r="D44" s="12"/>
      <c r="E44" s="4"/>
      <c r="F44" s="504"/>
      <c r="G44" s="504"/>
      <c r="H44" s="504"/>
      <c r="I44" s="504"/>
      <c r="J44" s="504"/>
      <c r="K44" s="504"/>
      <c r="L44" s="9">
        <f>SUM(F44:K44)</f>
        <v>0</v>
      </c>
      <c r="M44" s="57"/>
      <c r="N44" s="66"/>
    </row>
    <row r="45" spans="1:14" s="1" customFormat="1" ht="14.25">
      <c r="A45" s="5" t="s">
        <v>23</v>
      </c>
      <c r="B45" s="28"/>
      <c r="C45" s="69"/>
      <c r="D45" s="12"/>
      <c r="E45" s="4"/>
      <c r="F45" s="504"/>
      <c r="G45" s="504"/>
      <c r="H45" s="504"/>
      <c r="I45" s="504"/>
      <c r="J45" s="504"/>
      <c r="K45" s="504"/>
      <c r="L45" s="9">
        <f>SUM(F45:K45)</f>
        <v>0</v>
      </c>
      <c r="M45" s="57"/>
      <c r="N45" s="66"/>
    </row>
    <row r="46" spans="1:14" s="1" customFormat="1" ht="12.75">
      <c r="A46" s="5" t="s">
        <v>24</v>
      </c>
      <c r="B46" s="28"/>
      <c r="C46" s="15"/>
      <c r="D46" s="137"/>
      <c r="F46" s="504"/>
      <c r="G46" s="504"/>
      <c r="H46" s="504"/>
      <c r="I46" s="504"/>
      <c r="J46" s="504"/>
      <c r="K46" s="504"/>
      <c r="L46" s="9">
        <f>SUM(F46:K46)</f>
        <v>0</v>
      </c>
      <c r="M46" s="57"/>
      <c r="N46" s="66"/>
    </row>
    <row r="47" spans="1:12" s="1" customFormat="1" ht="12.75">
      <c r="A47" s="5" t="s">
        <v>25</v>
      </c>
      <c r="B47" s="28"/>
      <c r="C47" s="4"/>
      <c r="D47" s="4"/>
      <c r="F47" s="504"/>
      <c r="G47" s="504"/>
      <c r="H47" s="504"/>
      <c r="I47" s="504"/>
      <c r="J47" s="504"/>
      <c r="K47" s="504"/>
      <c r="L47" s="9">
        <f>SUM(F47:K47)</f>
        <v>0</v>
      </c>
    </row>
    <row r="48" spans="1:14" s="1" customFormat="1" ht="14.25">
      <c r="A48" s="5" t="s">
        <v>26</v>
      </c>
      <c r="B48" s="28"/>
      <c r="C48" s="86"/>
      <c r="D48" s="86"/>
      <c r="E48" s="8"/>
      <c r="F48" s="504"/>
      <c r="G48" s="504"/>
      <c r="H48" s="504"/>
      <c r="I48" s="504"/>
      <c r="J48" s="504"/>
      <c r="K48" s="504"/>
      <c r="L48" s="9">
        <f>SUM(F48:K48)</f>
        <v>0</v>
      </c>
      <c r="M48" s="57"/>
      <c r="N48" s="66"/>
    </row>
    <row r="49" spans="1:14" s="1" customFormat="1" ht="12.75">
      <c r="A49" s="5"/>
      <c r="E49" s="28" t="s">
        <v>94</v>
      </c>
      <c r="M49" s="57"/>
      <c r="N49" s="66"/>
    </row>
    <row r="50" spans="1:14" s="1" customFormat="1" ht="12.75">
      <c r="A50" s="5"/>
      <c r="B50" s="9"/>
      <c r="C50" s="4"/>
      <c r="D50" s="4"/>
      <c r="E50" s="28" t="s">
        <v>95</v>
      </c>
      <c r="F50" s="504"/>
      <c r="G50" s="504"/>
      <c r="H50" s="504"/>
      <c r="I50" s="504"/>
      <c r="J50" s="504"/>
      <c r="K50" s="504"/>
      <c r="L50" s="9"/>
      <c r="M50" s="57"/>
      <c r="N50" s="66"/>
    </row>
    <row r="51" spans="1:14" s="1" customFormat="1" ht="12.75">
      <c r="A51" s="5"/>
      <c r="C51" s="4"/>
      <c r="D51" s="4"/>
      <c r="E51" s="4"/>
      <c r="F51" s="504"/>
      <c r="G51" s="504"/>
      <c r="H51" s="504"/>
      <c r="I51" s="504"/>
      <c r="J51" s="504"/>
      <c r="K51" s="504"/>
      <c r="L51" s="9"/>
      <c r="M51" s="57"/>
      <c r="N51" s="66"/>
    </row>
    <row r="52" spans="3:14" s="1" customFormat="1" ht="12.75">
      <c r="C52" s="4"/>
      <c r="D52" s="4"/>
      <c r="E52" s="4"/>
      <c r="F52" s="4"/>
      <c r="G52" s="4"/>
      <c r="H52" s="4"/>
      <c r="I52" s="4"/>
      <c r="J52" s="4"/>
      <c r="K52" s="4"/>
      <c r="L52" s="4"/>
      <c r="M52" s="57"/>
      <c r="N52" s="66"/>
    </row>
    <row r="53" spans="3:14" s="1" customFormat="1" ht="12.75">
      <c r="C53" s="4"/>
      <c r="D53" s="4"/>
      <c r="E53" s="4"/>
      <c r="F53" s="4"/>
      <c r="G53" s="4"/>
      <c r="H53" s="4"/>
      <c r="I53" s="4"/>
      <c r="J53" s="4"/>
      <c r="K53" s="4"/>
      <c r="L53" s="4"/>
      <c r="M53" s="57"/>
      <c r="N53" s="66"/>
    </row>
    <row r="54" spans="3:14" s="1" customFormat="1" ht="12.75">
      <c r="C54" s="4"/>
      <c r="D54" s="4"/>
      <c r="E54" s="4"/>
      <c r="F54" s="4"/>
      <c r="G54" s="4"/>
      <c r="H54" s="4"/>
      <c r="I54" s="4"/>
      <c r="J54" s="4"/>
      <c r="K54" s="4"/>
      <c r="L54" s="4"/>
      <c r="M54" s="57"/>
      <c r="N54" s="66"/>
    </row>
    <row r="55" spans="3:14" s="1" customFormat="1" ht="12.75">
      <c r="C55" s="4"/>
      <c r="D55" s="4"/>
      <c r="E55" s="4"/>
      <c r="F55" s="4"/>
      <c r="G55" s="4"/>
      <c r="H55" s="4"/>
      <c r="I55" s="4"/>
      <c r="J55" s="4"/>
      <c r="K55" s="4"/>
      <c r="L55" s="4"/>
      <c r="M55" s="57"/>
      <c r="N55" s="66"/>
    </row>
    <row r="56" spans="3:14" s="1" customFormat="1" ht="12.75">
      <c r="C56" s="4"/>
      <c r="D56" s="4"/>
      <c r="E56" s="4"/>
      <c r="F56" s="4"/>
      <c r="G56" s="4"/>
      <c r="H56" s="4"/>
      <c r="I56" s="4"/>
      <c r="J56" s="4"/>
      <c r="K56" s="4"/>
      <c r="L56" s="4"/>
      <c r="M56" s="57"/>
      <c r="N56" s="66"/>
    </row>
    <row r="57" spans="3:14" s="1" customFormat="1" ht="12.75">
      <c r="C57" s="4"/>
      <c r="D57" s="4"/>
      <c r="E57" s="4"/>
      <c r="F57" s="4"/>
      <c r="G57" s="4"/>
      <c r="H57" s="4"/>
      <c r="I57" s="4"/>
      <c r="J57" s="4"/>
      <c r="K57" s="4"/>
      <c r="L57" s="4"/>
      <c r="M57" s="57"/>
      <c r="N57" s="66"/>
    </row>
    <row r="58" spans="3:14" s="1" customFormat="1" ht="12.75">
      <c r="C58" s="4"/>
      <c r="D58" s="4"/>
      <c r="F58" s="4"/>
      <c r="G58" s="4"/>
      <c r="H58" s="4"/>
      <c r="I58" s="4"/>
      <c r="J58" s="4"/>
      <c r="K58" s="4"/>
      <c r="L58" s="4"/>
      <c r="M58" s="57"/>
      <c r="N58" s="66"/>
    </row>
    <row r="59" spans="3:14" s="1" customFormat="1" ht="12.75">
      <c r="C59" s="4"/>
      <c r="D59" s="4"/>
      <c r="F59" s="4"/>
      <c r="G59" s="4"/>
      <c r="H59" s="4"/>
      <c r="I59" s="4"/>
      <c r="J59" s="4"/>
      <c r="K59" s="4"/>
      <c r="L59" s="4"/>
      <c r="M59" s="57"/>
      <c r="N59" s="66"/>
    </row>
    <row r="60" spans="3:14" s="1" customFormat="1" ht="12.75">
      <c r="C60" s="4"/>
      <c r="D60" s="4"/>
      <c r="E60" s="4"/>
      <c r="F60" s="4"/>
      <c r="G60" s="4"/>
      <c r="H60" s="4"/>
      <c r="I60" s="4"/>
      <c r="J60" s="4"/>
      <c r="K60" s="4"/>
      <c r="L60" s="4"/>
      <c r="M60" s="57"/>
      <c r="N60" s="66"/>
    </row>
    <row r="61" spans="3:14" s="1" customFormat="1" ht="12.75">
      <c r="C61" s="4"/>
      <c r="D61" s="4"/>
      <c r="E61" s="4"/>
      <c r="F61" s="4"/>
      <c r="G61" s="4"/>
      <c r="H61" s="4"/>
      <c r="I61" s="4"/>
      <c r="J61" s="4"/>
      <c r="K61" s="4"/>
      <c r="L61" s="4"/>
      <c r="M61" s="57"/>
      <c r="N61" s="66"/>
    </row>
    <row r="62" spans="3:14" s="1" customFormat="1" ht="12.75">
      <c r="C62" s="4"/>
      <c r="D62" s="4"/>
      <c r="E62" s="4"/>
      <c r="F62" s="4"/>
      <c r="G62" s="4"/>
      <c r="H62" s="4"/>
      <c r="I62" s="4"/>
      <c r="J62" s="4"/>
      <c r="K62" s="4"/>
      <c r="L62" s="4"/>
      <c r="M62" s="57"/>
      <c r="N62" s="66"/>
    </row>
    <row r="63" spans="3:14" s="1" customFormat="1" ht="12.75">
      <c r="C63" s="4"/>
      <c r="D63" s="4"/>
      <c r="E63" s="4"/>
      <c r="F63" s="4"/>
      <c r="G63" s="4"/>
      <c r="H63" s="4"/>
      <c r="I63" s="4"/>
      <c r="J63" s="4"/>
      <c r="K63" s="4"/>
      <c r="L63" s="4"/>
      <c r="M63" s="57"/>
      <c r="N63" s="66"/>
    </row>
    <row r="64" spans="3:14" s="1" customFormat="1" ht="12.75">
      <c r="C64" s="4"/>
      <c r="D64" s="4"/>
      <c r="E64" s="4"/>
      <c r="F64" s="4"/>
      <c r="G64" s="4"/>
      <c r="H64" s="4"/>
      <c r="I64" s="4"/>
      <c r="J64" s="4"/>
      <c r="K64" s="4"/>
      <c r="L64" s="4"/>
      <c r="M64" s="57"/>
      <c r="N64" s="66"/>
    </row>
    <row r="65" spans="3:14" s="1" customFormat="1" ht="12.75">
      <c r="C65" s="4"/>
      <c r="D65" s="4"/>
      <c r="E65" s="4"/>
      <c r="F65" s="4"/>
      <c r="G65" s="4"/>
      <c r="H65" s="4"/>
      <c r="I65" s="4"/>
      <c r="J65" s="4"/>
      <c r="K65" s="4"/>
      <c r="L65" s="4"/>
      <c r="M65" s="57"/>
      <c r="N65" s="66"/>
    </row>
    <row r="66" spans="3:14" s="1" customFormat="1" ht="12.75">
      <c r="C66" s="4"/>
      <c r="D66" s="4"/>
      <c r="E66" s="4"/>
      <c r="F66" s="4"/>
      <c r="G66" s="4"/>
      <c r="H66" s="4"/>
      <c r="I66" s="4"/>
      <c r="J66" s="4"/>
      <c r="K66" s="4"/>
      <c r="L66" s="4"/>
      <c r="M66" s="57"/>
      <c r="N66" s="66"/>
    </row>
    <row r="67" spans="3:14" s="1" customFormat="1" ht="12.75">
      <c r="C67" s="4"/>
      <c r="D67" s="4"/>
      <c r="E67" s="4"/>
      <c r="F67" s="4"/>
      <c r="G67" s="4"/>
      <c r="H67" s="4"/>
      <c r="I67" s="4"/>
      <c r="J67" s="4"/>
      <c r="K67" s="4"/>
      <c r="L67" s="4"/>
      <c r="M67" s="57"/>
      <c r="N67" s="66"/>
    </row>
    <row r="68" spans="3:14" s="1" customFormat="1" ht="12.75">
      <c r="C68" s="4"/>
      <c r="D68" s="4"/>
      <c r="E68" s="4"/>
      <c r="F68" s="4"/>
      <c r="G68" s="4"/>
      <c r="H68" s="4"/>
      <c r="I68" s="4"/>
      <c r="J68" s="4"/>
      <c r="K68" s="4"/>
      <c r="L68" s="4"/>
      <c r="M68" s="57"/>
      <c r="N68" s="66"/>
    </row>
    <row r="69" spans="3:14" s="1" customFormat="1" ht="12.75">
      <c r="C69" s="4"/>
      <c r="D69" s="4"/>
      <c r="E69" s="4"/>
      <c r="F69" s="4"/>
      <c r="G69" s="4"/>
      <c r="H69" s="4"/>
      <c r="I69" s="4"/>
      <c r="J69" s="4"/>
      <c r="K69" s="4"/>
      <c r="L69" s="4"/>
      <c r="M69" s="57"/>
      <c r="N69" s="66"/>
    </row>
    <row r="70" spans="3:14" s="1" customFormat="1" ht="12.75">
      <c r="C70" s="4"/>
      <c r="D70" s="4"/>
      <c r="E70" s="4"/>
      <c r="F70" s="4"/>
      <c r="G70" s="4"/>
      <c r="H70" s="4"/>
      <c r="I70" s="4"/>
      <c r="J70" s="4"/>
      <c r="K70" s="4"/>
      <c r="L70" s="4"/>
      <c r="M70" s="57"/>
      <c r="N70" s="66"/>
    </row>
    <row r="71" spans="3:14" s="1" customFormat="1" ht="12.75">
      <c r="C71" s="4"/>
      <c r="D71" s="4"/>
      <c r="E71" s="4"/>
      <c r="F71" s="4"/>
      <c r="G71" s="4"/>
      <c r="H71" s="4"/>
      <c r="I71" s="4"/>
      <c r="J71" s="4"/>
      <c r="K71" s="4"/>
      <c r="L71" s="4"/>
      <c r="M71" s="57"/>
      <c r="N71" s="66"/>
    </row>
    <row r="72" spans="3:14" s="1" customFormat="1" ht="12.75">
      <c r="C72" s="4"/>
      <c r="D72" s="4"/>
      <c r="E72" s="4"/>
      <c r="F72" s="4"/>
      <c r="G72" s="4"/>
      <c r="H72" s="4"/>
      <c r="I72" s="4"/>
      <c r="J72" s="4"/>
      <c r="K72" s="4"/>
      <c r="L72" s="4"/>
      <c r="M72" s="57"/>
      <c r="N72" s="66"/>
    </row>
    <row r="73" spans="3:14" s="1" customFormat="1" ht="12.75">
      <c r="C73" s="4"/>
      <c r="D73" s="4"/>
      <c r="E73" s="4"/>
      <c r="F73" s="4"/>
      <c r="G73" s="4"/>
      <c r="H73" s="4"/>
      <c r="I73" s="4"/>
      <c r="J73" s="4"/>
      <c r="K73" s="4"/>
      <c r="L73" s="4"/>
      <c r="M73" s="57"/>
      <c r="N73" s="66"/>
    </row>
    <row r="74" spans="3:14" s="1" customFormat="1" ht="12.75">
      <c r="C74" s="4"/>
      <c r="D74" s="4"/>
      <c r="E74" s="4"/>
      <c r="F74" s="4"/>
      <c r="G74" s="4"/>
      <c r="H74" s="4"/>
      <c r="I74" s="4"/>
      <c r="J74" s="4"/>
      <c r="K74" s="4"/>
      <c r="L74" s="4"/>
      <c r="M74" s="57"/>
      <c r="N74" s="66"/>
    </row>
    <row r="75" spans="3:14" s="1" customFormat="1" ht="12.75">
      <c r="C75" s="4"/>
      <c r="D75" s="4"/>
      <c r="E75" s="4"/>
      <c r="F75" s="4"/>
      <c r="G75" s="4"/>
      <c r="H75" s="4"/>
      <c r="I75" s="4"/>
      <c r="J75" s="4"/>
      <c r="K75" s="4"/>
      <c r="L75" s="4"/>
      <c r="M75" s="57"/>
      <c r="N75" s="66"/>
    </row>
    <row r="76" spans="3:14" s="1" customFormat="1" ht="12.75">
      <c r="C76" s="4"/>
      <c r="D76" s="4"/>
      <c r="E76" s="4"/>
      <c r="F76" s="4"/>
      <c r="G76" s="4"/>
      <c r="H76" s="4"/>
      <c r="I76" s="4"/>
      <c r="J76" s="4"/>
      <c r="K76" s="4"/>
      <c r="L76" s="4"/>
      <c r="M76" s="57"/>
      <c r="N76" s="66"/>
    </row>
    <row r="77" spans="3:14" s="1" customFormat="1" ht="12.75">
      <c r="C77" s="4"/>
      <c r="D77" s="4"/>
      <c r="E77" s="4"/>
      <c r="F77" s="4"/>
      <c r="G77" s="4"/>
      <c r="H77" s="4"/>
      <c r="I77" s="4"/>
      <c r="J77" s="4"/>
      <c r="K77" s="4"/>
      <c r="L77" s="4"/>
      <c r="M77" s="57"/>
      <c r="N77" s="66"/>
    </row>
    <row r="78" spans="3:14" s="1" customFormat="1" ht="12.75">
      <c r="C78" s="4"/>
      <c r="D78" s="4"/>
      <c r="E78" s="4"/>
      <c r="F78" s="4"/>
      <c r="G78" s="4"/>
      <c r="H78" s="4"/>
      <c r="I78" s="4"/>
      <c r="J78" s="4"/>
      <c r="K78" s="4"/>
      <c r="L78" s="4"/>
      <c r="M78" s="57"/>
      <c r="N78" s="66"/>
    </row>
    <row r="79" spans="3:14" s="1" customFormat="1" ht="12.75">
      <c r="C79" s="4"/>
      <c r="D79" s="4"/>
      <c r="E79" s="4"/>
      <c r="F79" s="4"/>
      <c r="G79" s="4"/>
      <c r="H79" s="4"/>
      <c r="I79" s="4"/>
      <c r="J79" s="4"/>
      <c r="K79" s="4"/>
      <c r="L79" s="4"/>
      <c r="M79" s="57"/>
      <c r="N79" s="66"/>
    </row>
    <row r="80" spans="3:14" s="1" customFormat="1" ht="12.75">
      <c r="C80" s="4"/>
      <c r="D80" s="4"/>
      <c r="E80" s="4"/>
      <c r="F80" s="4"/>
      <c r="G80" s="4"/>
      <c r="H80" s="4"/>
      <c r="I80" s="4"/>
      <c r="J80" s="4"/>
      <c r="K80" s="4"/>
      <c r="L80" s="4"/>
      <c r="M80" s="57"/>
      <c r="N80" s="66"/>
    </row>
    <row r="81" spans="3:14" s="1" customFormat="1" ht="12.75">
      <c r="C81" s="4"/>
      <c r="D81" s="4"/>
      <c r="E81" s="4"/>
      <c r="F81" s="4"/>
      <c r="G81" s="4"/>
      <c r="H81" s="4"/>
      <c r="I81" s="4"/>
      <c r="J81" s="4"/>
      <c r="K81" s="4"/>
      <c r="L81" s="4"/>
      <c r="M81" s="57"/>
      <c r="N81" s="66"/>
    </row>
    <row r="82" spans="3:14" s="1" customFormat="1" ht="12.75">
      <c r="C82" s="4"/>
      <c r="D82" s="4"/>
      <c r="E82" s="4"/>
      <c r="F82" s="4"/>
      <c r="G82" s="4"/>
      <c r="H82" s="4"/>
      <c r="I82" s="4"/>
      <c r="J82" s="4"/>
      <c r="K82" s="4"/>
      <c r="L82" s="4"/>
      <c r="M82" s="57"/>
      <c r="N82" s="66"/>
    </row>
    <row r="83" spans="3:14" s="1" customFormat="1" ht="12.75">
      <c r="C83" s="4"/>
      <c r="D83" s="4"/>
      <c r="E83" s="4"/>
      <c r="F83" s="4"/>
      <c r="G83" s="4"/>
      <c r="H83" s="4"/>
      <c r="I83" s="4"/>
      <c r="J83" s="4"/>
      <c r="K83" s="4"/>
      <c r="L83" s="4"/>
      <c r="M83" s="57"/>
      <c r="N83" s="66"/>
    </row>
    <row r="84" spans="3:14" s="1" customFormat="1" ht="12.75">
      <c r="C84" s="4"/>
      <c r="D84" s="4"/>
      <c r="E84" s="4"/>
      <c r="F84" s="4"/>
      <c r="G84" s="4"/>
      <c r="H84" s="4"/>
      <c r="I84" s="4"/>
      <c r="J84" s="4"/>
      <c r="K84" s="4"/>
      <c r="L84" s="4"/>
      <c r="M84" s="57"/>
      <c r="N84" s="66"/>
    </row>
    <row r="85" spans="3:14" s="1" customFormat="1" ht="12.75">
      <c r="C85" s="4"/>
      <c r="D85" s="4"/>
      <c r="E85" s="4"/>
      <c r="F85" s="4"/>
      <c r="G85" s="4"/>
      <c r="H85" s="4"/>
      <c r="I85" s="4"/>
      <c r="J85" s="4"/>
      <c r="K85" s="4"/>
      <c r="L85" s="4"/>
      <c r="M85" s="57"/>
      <c r="N85" s="66"/>
    </row>
    <row r="86" spans="3:14" s="1" customFormat="1" ht="12.75">
      <c r="C86" s="4"/>
      <c r="D86" s="4"/>
      <c r="E86" s="4"/>
      <c r="F86" s="4"/>
      <c r="G86" s="4"/>
      <c r="H86" s="4"/>
      <c r="I86" s="4"/>
      <c r="J86" s="4"/>
      <c r="K86" s="4"/>
      <c r="L86" s="4"/>
      <c r="M86" s="57"/>
      <c r="N86" s="66"/>
    </row>
    <row r="87" spans="3:14" s="1" customFormat="1" ht="12.75">
      <c r="C87" s="4"/>
      <c r="D87" s="4"/>
      <c r="E87" s="4"/>
      <c r="F87" s="4"/>
      <c r="G87" s="4"/>
      <c r="H87" s="4"/>
      <c r="I87" s="4"/>
      <c r="J87" s="4"/>
      <c r="K87" s="4"/>
      <c r="L87" s="4"/>
      <c r="M87" s="57"/>
      <c r="N87" s="66"/>
    </row>
    <row r="88" spans="3:14" s="1" customFormat="1" ht="12.75">
      <c r="C88" s="4"/>
      <c r="D88" s="4"/>
      <c r="E88" s="4"/>
      <c r="F88" s="4"/>
      <c r="G88" s="4"/>
      <c r="H88" s="4"/>
      <c r="I88" s="4"/>
      <c r="J88" s="4"/>
      <c r="K88" s="4"/>
      <c r="L88" s="4"/>
      <c r="M88" s="57"/>
      <c r="N88" s="66"/>
    </row>
    <row r="89" spans="3:14" s="1" customFormat="1" ht="12.75">
      <c r="C89" s="4"/>
      <c r="D89" s="4"/>
      <c r="E89" s="4"/>
      <c r="F89" s="4"/>
      <c r="G89" s="4"/>
      <c r="H89" s="4"/>
      <c r="I89" s="4"/>
      <c r="J89" s="4"/>
      <c r="K89" s="4"/>
      <c r="L89" s="4"/>
      <c r="M89" s="57"/>
      <c r="N89" s="66"/>
    </row>
    <row r="90" spans="3:14" s="1" customFormat="1" ht="20.25">
      <c r="C90" s="4"/>
      <c r="D90" s="4"/>
      <c r="E90" s="4"/>
      <c r="F90" s="4"/>
      <c r="G90" s="4"/>
      <c r="H90" s="4"/>
      <c r="I90" s="4"/>
      <c r="J90" s="4"/>
      <c r="K90" s="4"/>
      <c r="L90" s="4"/>
      <c r="M90" s="113"/>
      <c r="N90"/>
    </row>
    <row r="91" spans="3:14" s="1" customFormat="1" ht="12.75">
      <c r="C91" s="4"/>
      <c r="D91" s="4"/>
      <c r="E91" s="4"/>
      <c r="F91" s="4"/>
      <c r="G91" s="4"/>
      <c r="H91" s="4"/>
      <c r="I91" s="4"/>
      <c r="J91" s="4"/>
      <c r="K91" s="4"/>
      <c r="L91" s="4"/>
      <c r="M91"/>
      <c r="N91" s="66"/>
    </row>
    <row r="92" spans="3:14" s="1" customFormat="1" ht="12.75">
      <c r="C92" s="4"/>
      <c r="D92" s="4"/>
      <c r="E92" s="4"/>
      <c r="F92" s="4"/>
      <c r="G92" s="4"/>
      <c r="H92" s="4"/>
      <c r="I92" s="4"/>
      <c r="J92" s="4"/>
      <c r="K92" s="4"/>
      <c r="L92" s="4"/>
      <c r="M92" s="57"/>
      <c r="N92" s="66"/>
    </row>
    <row r="93" spans="3:14" s="1" customFormat="1" ht="12.75">
      <c r="C93" s="4"/>
      <c r="D93" s="4"/>
      <c r="E93" s="4"/>
      <c r="F93" s="4"/>
      <c r="G93" s="4"/>
      <c r="H93" s="4"/>
      <c r="I93" s="4"/>
      <c r="J93" s="4"/>
      <c r="K93" s="4"/>
      <c r="L93" s="4"/>
      <c r="M93" s="57"/>
      <c r="N93" s="66"/>
    </row>
    <row r="94" spans="3:14" s="1" customFormat="1" ht="12.75">
      <c r="C94" s="4"/>
      <c r="D94" s="4"/>
      <c r="E94" s="4"/>
      <c r="F94" s="4"/>
      <c r="G94" s="4"/>
      <c r="H94" s="4"/>
      <c r="I94" s="4"/>
      <c r="J94" s="4"/>
      <c r="K94" s="4"/>
      <c r="L94" s="4"/>
      <c r="M94" s="57"/>
      <c r="N94" s="66"/>
    </row>
    <row r="95" spans="3:14" s="1" customFormat="1" ht="12.75">
      <c r="C95" s="4"/>
      <c r="D95" s="4"/>
      <c r="E95" s="4"/>
      <c r="F95" s="4"/>
      <c r="G95" s="4"/>
      <c r="H95" s="4"/>
      <c r="I95" s="4"/>
      <c r="J95" s="4"/>
      <c r="K95" s="4"/>
      <c r="L95" s="4"/>
      <c r="M95" s="57"/>
      <c r="N95" s="66"/>
    </row>
    <row r="96" spans="3:14" s="1" customFormat="1" ht="12.75">
      <c r="C96" s="4"/>
      <c r="D96" s="4"/>
      <c r="E96" s="4"/>
      <c r="F96" s="4"/>
      <c r="G96" s="4"/>
      <c r="H96" s="4"/>
      <c r="I96" s="4"/>
      <c r="J96" s="4"/>
      <c r="K96" s="4"/>
      <c r="L96" s="4"/>
      <c r="M96" s="57"/>
      <c r="N96" s="66"/>
    </row>
    <row r="97" spans="3:14" s="1" customFormat="1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57"/>
      <c r="N97" s="66"/>
    </row>
    <row r="98" spans="3:14" s="1" customFormat="1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57"/>
      <c r="N98" s="66"/>
    </row>
    <row r="99" spans="3:14" s="1" customFormat="1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57"/>
      <c r="N99" s="66"/>
    </row>
    <row r="100" spans="3:14" s="1" customFormat="1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7"/>
      <c r="N100" s="66"/>
    </row>
    <row r="101" spans="3:14" s="1" customFormat="1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57"/>
      <c r="N101" s="66"/>
    </row>
    <row r="102" spans="3:14" s="1" customFormat="1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57"/>
      <c r="N102" s="66"/>
    </row>
    <row r="103" spans="3:14" s="1" customFormat="1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57"/>
      <c r="N103" s="66"/>
    </row>
    <row r="104" spans="3:14" s="1" customFormat="1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57"/>
      <c r="N104" s="66"/>
    </row>
    <row r="105" spans="3:14" s="1" customFormat="1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57"/>
      <c r="N105" s="66"/>
    </row>
    <row r="106" spans="3:14" s="1" customFormat="1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57"/>
      <c r="N106" s="66"/>
    </row>
    <row r="107" spans="3:14" s="1" customFormat="1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57"/>
      <c r="N107" s="66"/>
    </row>
    <row r="108" spans="3:14" s="1" customFormat="1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57"/>
      <c r="N108" s="66"/>
    </row>
    <row r="109" spans="3:14" s="1" customFormat="1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57"/>
      <c r="N109" s="66"/>
    </row>
    <row r="110" spans="3:14" s="1" customFormat="1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57"/>
      <c r="N110" s="66"/>
    </row>
    <row r="111" spans="3:14" s="1" customFormat="1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57"/>
      <c r="N111" s="66"/>
    </row>
    <row r="112" spans="3:14" s="1" customFormat="1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57"/>
      <c r="N112" s="66"/>
    </row>
    <row r="113" spans="3:14" s="1" customFormat="1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57"/>
      <c r="N113" s="66"/>
    </row>
    <row r="114" spans="3:14" s="1" customFormat="1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57"/>
      <c r="N114" s="66"/>
    </row>
    <row r="115" spans="3:14" s="1" customFormat="1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57"/>
      <c r="N115" s="66"/>
    </row>
    <row r="116" spans="3:14" s="1" customFormat="1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57"/>
      <c r="N116" s="66"/>
    </row>
    <row r="117" spans="3:14" s="1" customFormat="1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57"/>
      <c r="N117" s="66"/>
    </row>
    <row r="118" spans="3:14" s="1" customFormat="1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57"/>
      <c r="N118" s="66"/>
    </row>
    <row r="119" spans="3:14" s="1" customFormat="1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57"/>
      <c r="N119" s="66"/>
    </row>
    <row r="120" spans="3:14" s="1" customFormat="1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57"/>
      <c r="N120" s="66"/>
    </row>
    <row r="121" spans="3:14" s="1" customFormat="1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57"/>
      <c r="N121" s="66"/>
    </row>
    <row r="122" spans="3:14" s="1" customFormat="1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57"/>
      <c r="N122" s="66"/>
    </row>
    <row r="123" spans="3:14" s="1" customFormat="1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57"/>
      <c r="N123" s="66"/>
    </row>
    <row r="124" spans="3:14" s="1" customFormat="1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57"/>
      <c r="N124" s="66"/>
    </row>
    <row r="125" spans="3:14" s="1" customFormat="1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57"/>
      <c r="N125" s="66"/>
    </row>
    <row r="126" spans="3:14" s="1" customFormat="1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57"/>
      <c r="N126" s="66"/>
    </row>
    <row r="127" spans="3:14" s="1" customFormat="1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57"/>
      <c r="N127" s="66"/>
    </row>
    <row r="128" spans="3:14" s="1" customFormat="1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57"/>
      <c r="N128" s="66"/>
    </row>
    <row r="129" spans="3:14" s="1" customFormat="1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57"/>
      <c r="N129" s="66"/>
    </row>
    <row r="130" spans="3:14" s="1" customFormat="1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57"/>
      <c r="N130" s="66"/>
    </row>
    <row r="131" spans="3:14" s="1" customFormat="1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57"/>
      <c r="N131" s="66"/>
    </row>
    <row r="132" spans="3:14" s="1" customFormat="1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57"/>
      <c r="N132" s="66"/>
    </row>
    <row r="133" spans="3:14" s="1" customFormat="1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57"/>
      <c r="N133" s="66"/>
    </row>
    <row r="134" spans="3:14" s="1" customFormat="1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57"/>
      <c r="N134" s="66"/>
    </row>
    <row r="135" spans="3:14" s="1" customFormat="1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57"/>
      <c r="N135" s="66"/>
    </row>
    <row r="136" spans="3:14" s="1" customFormat="1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57"/>
      <c r="N136" s="66"/>
    </row>
    <row r="137" spans="3:14" s="1" customFormat="1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57"/>
      <c r="N137" s="66"/>
    </row>
    <row r="138" spans="3:14" s="1" customFormat="1" ht="12.7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57"/>
      <c r="N138" s="66"/>
    </row>
    <row r="139" spans="3:14" s="1" customFormat="1" ht="12.7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57"/>
      <c r="N139" s="66"/>
    </row>
    <row r="140" spans="3:14" s="1" customFormat="1" ht="12.7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57"/>
      <c r="N140" s="66"/>
    </row>
    <row r="141" spans="3:14" s="1" customFormat="1" ht="12.7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57"/>
      <c r="N141" s="66"/>
    </row>
    <row r="142" spans="3:14" s="1" customFormat="1" ht="12.7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57"/>
      <c r="N142" s="66"/>
    </row>
    <row r="143" spans="3:14" s="1" customFormat="1" ht="12.7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57"/>
      <c r="N143" s="66"/>
    </row>
    <row r="144" spans="3:14" s="1" customFormat="1" ht="12.7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57"/>
      <c r="N144" s="66"/>
    </row>
    <row r="145" spans="3:14" s="1" customFormat="1" ht="12.7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57"/>
      <c r="N145" s="66"/>
    </row>
    <row r="146" spans="3:14" s="1" customFormat="1" ht="12.7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57"/>
      <c r="N146" s="66"/>
    </row>
    <row r="147" spans="3:14" s="1" customFormat="1" ht="12.7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57"/>
      <c r="N147" s="66"/>
    </row>
    <row r="148" spans="3:14" s="1" customFormat="1" ht="12.7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57"/>
      <c r="N148" s="66"/>
    </row>
    <row r="149" spans="3:14" s="1" customFormat="1" ht="12.7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57"/>
      <c r="N149" s="66"/>
    </row>
    <row r="150" spans="3:14" s="1" customFormat="1" ht="12.7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57"/>
      <c r="N150" s="66"/>
    </row>
    <row r="151" spans="3:14" s="1" customFormat="1" ht="12.7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57"/>
      <c r="N151" s="66"/>
    </row>
  </sheetData>
  <sheetProtection/>
  <mergeCells count="26">
    <mergeCell ref="F44:G44"/>
    <mergeCell ref="H44:I44"/>
    <mergeCell ref="J44:K44"/>
    <mergeCell ref="F45:G45"/>
    <mergeCell ref="H45:I45"/>
    <mergeCell ref="J45:K45"/>
    <mergeCell ref="A1:M1"/>
    <mergeCell ref="C4:D4"/>
    <mergeCell ref="F43:G43"/>
    <mergeCell ref="H43:I43"/>
    <mergeCell ref="J43:K43"/>
    <mergeCell ref="J51:K51"/>
    <mergeCell ref="J46:K46"/>
    <mergeCell ref="J47:K47"/>
    <mergeCell ref="J50:K50"/>
    <mergeCell ref="J48:K48"/>
    <mergeCell ref="F48:G48"/>
    <mergeCell ref="H48:I48"/>
    <mergeCell ref="H51:I51"/>
    <mergeCell ref="F46:G46"/>
    <mergeCell ref="F47:G47"/>
    <mergeCell ref="F50:G50"/>
    <mergeCell ref="F51:G51"/>
    <mergeCell ref="H46:I46"/>
    <mergeCell ref="H47:I47"/>
    <mergeCell ref="H50:I50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O150"/>
  <sheetViews>
    <sheetView zoomScale="80" zoomScaleNormal="80" zoomScalePageLayoutView="0" workbookViewId="0" topLeftCell="A25">
      <selection activeCell="C43" sqref="C43:E43"/>
    </sheetView>
  </sheetViews>
  <sheetFormatPr defaultColWidth="9.140625" defaultRowHeight="12.75"/>
  <cols>
    <col min="1" max="1" width="7.00390625" style="0" customWidth="1"/>
    <col min="2" max="2" width="21.57421875" style="0" customWidth="1"/>
    <col min="3" max="5" width="17.7109375" style="3" customWidth="1"/>
    <col min="6" max="11" width="4.7109375" style="3" customWidth="1"/>
    <col min="12" max="12" width="8.7109375" style="3" customWidth="1"/>
    <col min="13" max="13" width="5.28125" style="327" customWidth="1"/>
    <col min="14" max="14" width="9.140625" style="76" customWidth="1"/>
  </cols>
  <sheetData>
    <row r="1" spans="1:13" ht="16.5" customHeight="1">
      <c r="A1" s="505" t="s">
        <v>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</row>
    <row r="2" spans="1:13" ht="30" customHeight="1">
      <c r="A2" s="23"/>
      <c r="B2" s="24"/>
      <c r="C2" s="25"/>
      <c r="D2" s="26" t="s">
        <v>18</v>
      </c>
      <c r="E2" s="25"/>
      <c r="F2" s="24"/>
      <c r="G2" s="24"/>
      <c r="H2" s="24"/>
      <c r="I2" s="24"/>
      <c r="J2" s="24"/>
      <c r="K2" s="24"/>
      <c r="L2" s="24"/>
      <c r="M2" s="65"/>
    </row>
    <row r="3" spans="1:8" ht="16.5" customHeight="1">
      <c r="A3" s="10" t="s">
        <v>32</v>
      </c>
      <c r="B3" s="11" t="s">
        <v>322</v>
      </c>
      <c r="C3" s="11"/>
      <c r="D3" s="11"/>
      <c r="E3" s="11"/>
      <c r="F3" s="11"/>
      <c r="G3" s="11"/>
      <c r="H3" s="11"/>
    </row>
    <row r="4" spans="1:5" ht="15.75">
      <c r="A4" s="19" t="s">
        <v>1</v>
      </c>
      <c r="B4" s="20"/>
      <c r="C4" s="506" t="s">
        <v>330</v>
      </c>
      <c r="D4" s="506"/>
      <c r="E4" s="21"/>
    </row>
    <row r="5" spans="1:5" ht="15.75">
      <c r="A5" s="19" t="s">
        <v>2</v>
      </c>
      <c r="B5" s="20"/>
      <c r="C5" s="22" t="s">
        <v>4</v>
      </c>
      <c r="D5" s="21"/>
      <c r="E5" s="21"/>
    </row>
    <row r="6" spans="1:5" ht="15.75">
      <c r="A6" s="19" t="s">
        <v>3</v>
      </c>
      <c r="B6" s="20"/>
      <c r="C6" s="22" t="s">
        <v>45</v>
      </c>
      <c r="D6" s="21"/>
      <c r="E6" s="21"/>
    </row>
    <row r="7" spans="3:14" s="1" customFormat="1" ht="12.75">
      <c r="C7" s="4"/>
      <c r="D7" s="4"/>
      <c r="E7" s="4"/>
      <c r="F7" s="4"/>
      <c r="G7" s="4"/>
      <c r="H7" s="4"/>
      <c r="I7" s="4"/>
      <c r="J7" s="4"/>
      <c r="K7" s="4"/>
      <c r="L7" s="4"/>
      <c r="M7" s="328"/>
      <c r="N7" s="66"/>
    </row>
    <row r="8" spans="1:14" s="1" customFormat="1" ht="12.75" customHeight="1">
      <c r="A8" s="6" t="s">
        <v>19</v>
      </c>
      <c r="B8" s="7"/>
      <c r="C8" s="8"/>
      <c r="D8" s="8"/>
      <c r="E8" s="8"/>
      <c r="F8" s="7"/>
      <c r="G8" s="7"/>
      <c r="H8" s="7"/>
      <c r="I8" s="7"/>
      <c r="J8" s="7"/>
      <c r="K8" s="7"/>
      <c r="L8" s="7"/>
      <c r="M8" s="329"/>
      <c r="N8" s="66"/>
    </row>
    <row r="9" spans="1:14" s="1" customFormat="1" ht="25.5" customHeight="1">
      <c r="A9" s="2" t="s">
        <v>8</v>
      </c>
      <c r="B9" s="18" t="s">
        <v>9</v>
      </c>
      <c r="C9" s="18" t="s">
        <v>5</v>
      </c>
      <c r="D9" s="18" t="s">
        <v>6</v>
      </c>
      <c r="E9" s="18" t="s">
        <v>7</v>
      </c>
      <c r="F9" s="2" t="s">
        <v>38</v>
      </c>
      <c r="G9" s="2" t="s">
        <v>39</v>
      </c>
      <c r="H9" s="2" t="s">
        <v>40</v>
      </c>
      <c r="I9" s="2" t="s">
        <v>41</v>
      </c>
      <c r="J9" s="2" t="s">
        <v>42</v>
      </c>
      <c r="K9" s="2" t="s">
        <v>43</v>
      </c>
      <c r="L9" s="17" t="s">
        <v>10</v>
      </c>
      <c r="M9" s="451" t="s">
        <v>44</v>
      </c>
      <c r="N9" s="471" t="s">
        <v>505</v>
      </c>
    </row>
    <row r="10" spans="1:14" s="1" customFormat="1" ht="12.75">
      <c r="A10" s="5" t="s">
        <v>22</v>
      </c>
      <c r="B10" s="202" t="s">
        <v>441</v>
      </c>
      <c r="C10" s="203">
        <v>1989</v>
      </c>
      <c r="D10" s="203">
        <v>33718</v>
      </c>
      <c r="E10" s="203" t="s">
        <v>442</v>
      </c>
      <c r="F10" s="12">
        <v>92</v>
      </c>
      <c r="G10" s="12">
        <v>93</v>
      </c>
      <c r="H10" s="12">
        <v>92</v>
      </c>
      <c r="I10" s="12">
        <v>95</v>
      </c>
      <c r="J10" s="12"/>
      <c r="K10" s="12"/>
      <c r="L10" s="9">
        <f aca="true" t="shared" si="0" ref="L10:L19">SUM(F10:K10)</f>
        <v>372</v>
      </c>
      <c r="M10" s="330" t="s">
        <v>358</v>
      </c>
      <c r="N10" s="66"/>
    </row>
    <row r="11" spans="1:14" s="1" customFormat="1" ht="12.75">
      <c r="A11" s="5" t="s">
        <v>23</v>
      </c>
      <c r="B11" s="137" t="s">
        <v>61</v>
      </c>
      <c r="C11" s="55">
        <v>1958</v>
      </c>
      <c r="D11" s="373">
        <v>4061</v>
      </c>
      <c r="E11" s="55" t="s">
        <v>152</v>
      </c>
      <c r="F11" s="12">
        <f>16+20+18+17+20</f>
        <v>91</v>
      </c>
      <c r="G11" s="12">
        <f>18+18+15+18+18</f>
        <v>87</v>
      </c>
      <c r="H11" s="12">
        <f>18+19+20+19+20</f>
        <v>96</v>
      </c>
      <c r="I11" s="12">
        <f>18+18+19+17+18</f>
        <v>90</v>
      </c>
      <c r="J11" s="12"/>
      <c r="K11" s="12"/>
      <c r="L11" s="9">
        <f t="shared" si="0"/>
        <v>364</v>
      </c>
      <c r="M11" s="330" t="s">
        <v>266</v>
      </c>
      <c r="N11" s="66"/>
    </row>
    <row r="12" spans="1:14" s="1" customFormat="1" ht="12.75">
      <c r="A12" s="5" t="s">
        <v>24</v>
      </c>
      <c r="B12" s="137" t="s">
        <v>156</v>
      </c>
      <c r="C12" s="56">
        <v>1990</v>
      </c>
      <c r="D12" s="423">
        <v>38395</v>
      </c>
      <c r="E12" s="8" t="s">
        <v>97</v>
      </c>
      <c r="F12" s="12">
        <v>84</v>
      </c>
      <c r="G12" s="12">
        <v>86</v>
      </c>
      <c r="H12" s="12">
        <v>95</v>
      </c>
      <c r="I12" s="12">
        <v>89</v>
      </c>
      <c r="J12" s="12"/>
      <c r="K12" s="12"/>
      <c r="L12" s="9">
        <f t="shared" si="0"/>
        <v>354</v>
      </c>
      <c r="M12" s="330" t="s">
        <v>265</v>
      </c>
      <c r="N12" s="66"/>
    </row>
    <row r="13" spans="1:14" s="1" customFormat="1" ht="14.25">
      <c r="A13" s="5" t="s">
        <v>25</v>
      </c>
      <c r="B13" s="377" t="s">
        <v>502</v>
      </c>
      <c r="C13" s="378">
        <v>1994</v>
      </c>
      <c r="D13" s="203">
        <v>37964</v>
      </c>
      <c r="E13" s="55" t="s">
        <v>152</v>
      </c>
      <c r="F13" s="12">
        <f>16+19+16+18+16</f>
        <v>85</v>
      </c>
      <c r="G13" s="12">
        <f>19+15+19+18+18</f>
        <v>89</v>
      </c>
      <c r="H13" s="12">
        <f>19+18+13+16+17</f>
        <v>83</v>
      </c>
      <c r="I13" s="12">
        <f>19+18+17+18+18</f>
        <v>90</v>
      </c>
      <c r="J13" s="12"/>
      <c r="K13" s="12"/>
      <c r="L13" s="9">
        <f t="shared" si="0"/>
        <v>347</v>
      </c>
      <c r="M13" s="330" t="s">
        <v>266</v>
      </c>
      <c r="N13" s="66"/>
    </row>
    <row r="14" spans="1:14" s="1" customFormat="1" ht="12.75">
      <c r="A14" s="5" t="s">
        <v>26</v>
      </c>
      <c r="B14" s="377" t="s">
        <v>179</v>
      </c>
      <c r="C14" s="417">
        <v>1984</v>
      </c>
      <c r="D14" s="417">
        <v>38394</v>
      </c>
      <c r="E14" s="417" t="s">
        <v>97</v>
      </c>
      <c r="F14" s="12">
        <f>18+17+18+16+19</f>
        <v>88</v>
      </c>
      <c r="G14" s="12">
        <f>19+17+17+17+17</f>
        <v>87</v>
      </c>
      <c r="H14" s="12">
        <f>17+15+18+14+19</f>
        <v>83</v>
      </c>
      <c r="I14" s="12">
        <f>18+17+19+16+17</f>
        <v>87</v>
      </c>
      <c r="J14" s="12"/>
      <c r="K14" s="12"/>
      <c r="L14" s="9">
        <f t="shared" si="0"/>
        <v>345</v>
      </c>
      <c r="M14" s="330" t="s">
        <v>265</v>
      </c>
      <c r="N14" s="66"/>
    </row>
    <row r="15" spans="1:14" s="1" customFormat="1" ht="12.75">
      <c r="A15" s="5" t="s">
        <v>27</v>
      </c>
      <c r="B15" s="377" t="s">
        <v>496</v>
      </c>
      <c r="C15" s="417">
        <v>1982</v>
      </c>
      <c r="D15" s="417">
        <v>37902</v>
      </c>
      <c r="E15" s="203" t="s">
        <v>442</v>
      </c>
      <c r="F15" s="12">
        <v>83</v>
      </c>
      <c r="G15" s="12">
        <v>82</v>
      </c>
      <c r="H15" s="12">
        <v>81</v>
      </c>
      <c r="I15" s="12">
        <f>18+18+17+18+18</f>
        <v>89</v>
      </c>
      <c r="J15" s="12"/>
      <c r="K15" s="12"/>
      <c r="L15" s="9">
        <f t="shared" si="0"/>
        <v>335</v>
      </c>
      <c r="M15" s="330" t="s">
        <v>265</v>
      </c>
      <c r="N15" s="66"/>
    </row>
    <row r="16" spans="1:14" s="1" customFormat="1" ht="12.75">
      <c r="A16" s="5" t="s">
        <v>28</v>
      </c>
      <c r="B16" s="365" t="s">
        <v>259</v>
      </c>
      <c r="C16" s="109">
        <v>1994</v>
      </c>
      <c r="D16" s="109">
        <v>31673</v>
      </c>
      <c r="E16" s="109" t="s">
        <v>352</v>
      </c>
      <c r="F16" s="12">
        <v>77</v>
      </c>
      <c r="G16" s="12">
        <v>84</v>
      </c>
      <c r="H16" s="12">
        <v>79</v>
      </c>
      <c r="I16" s="12">
        <v>83</v>
      </c>
      <c r="J16" s="12"/>
      <c r="K16" s="12"/>
      <c r="L16" s="9">
        <f t="shared" si="0"/>
        <v>323</v>
      </c>
      <c r="M16" s="330" t="s">
        <v>265</v>
      </c>
      <c r="N16" s="66"/>
    </row>
    <row r="17" spans="1:14" s="1" customFormat="1" ht="12.75">
      <c r="A17" s="5" t="s">
        <v>29</v>
      </c>
      <c r="B17" s="377" t="s">
        <v>497</v>
      </c>
      <c r="C17" s="417">
        <v>1995</v>
      </c>
      <c r="D17" s="417" t="s">
        <v>498</v>
      </c>
      <c r="E17" s="55" t="s">
        <v>152</v>
      </c>
      <c r="F17" s="12">
        <f>16+17+17+14+17</f>
        <v>81</v>
      </c>
      <c r="G17" s="12">
        <f>16+15+16+15+12</f>
        <v>74</v>
      </c>
      <c r="H17" s="12">
        <f>14+17+17+17+13</f>
        <v>78</v>
      </c>
      <c r="I17" s="12">
        <f>15+17+19+17+15</f>
        <v>83</v>
      </c>
      <c r="J17" s="12"/>
      <c r="K17" s="12"/>
      <c r="L17" s="9">
        <f t="shared" si="0"/>
        <v>316</v>
      </c>
      <c r="M17" s="330"/>
      <c r="N17" s="66"/>
    </row>
    <row r="18" spans="1:14" s="1" customFormat="1" ht="12.75">
      <c r="A18" s="5" t="s">
        <v>30</v>
      </c>
      <c r="B18" s="33" t="s">
        <v>435</v>
      </c>
      <c r="C18" s="34">
        <v>1996</v>
      </c>
      <c r="D18" s="34" t="s">
        <v>436</v>
      </c>
      <c r="E18" s="55" t="s">
        <v>341</v>
      </c>
      <c r="F18" s="12">
        <v>71</v>
      </c>
      <c r="G18" s="12">
        <v>72</v>
      </c>
      <c r="H18" s="12">
        <v>78</v>
      </c>
      <c r="I18" s="12">
        <v>78</v>
      </c>
      <c r="J18" s="12"/>
      <c r="K18" s="12"/>
      <c r="L18" s="9">
        <f t="shared" si="0"/>
        <v>299</v>
      </c>
      <c r="M18" s="330"/>
      <c r="N18" s="66"/>
    </row>
    <row r="19" spans="1:14" s="1" customFormat="1" ht="12.75">
      <c r="A19" s="5" t="s">
        <v>31</v>
      </c>
      <c r="B19" s="377" t="s">
        <v>500</v>
      </c>
      <c r="C19" s="34">
        <v>1989</v>
      </c>
      <c r="D19" s="34">
        <v>32672</v>
      </c>
      <c r="E19" s="56" t="s">
        <v>60</v>
      </c>
      <c r="F19" s="12">
        <v>59</v>
      </c>
      <c r="G19" s="12">
        <v>67</v>
      </c>
      <c r="H19" s="12">
        <v>43</v>
      </c>
      <c r="I19" s="12">
        <v>55</v>
      </c>
      <c r="J19" s="12"/>
      <c r="K19" s="12"/>
      <c r="L19" s="9">
        <f t="shared" si="0"/>
        <v>224</v>
      </c>
      <c r="M19" s="330"/>
      <c r="N19" s="66"/>
    </row>
    <row r="20" spans="1:14" s="1" customFormat="1" ht="12.75">
      <c r="A20" s="5"/>
      <c r="B20" s="13"/>
      <c r="C20" s="203"/>
      <c r="D20" s="203"/>
      <c r="E20" s="109"/>
      <c r="F20" s="12"/>
      <c r="G20" s="12"/>
      <c r="H20" s="12"/>
      <c r="I20" s="12"/>
      <c r="J20" s="12"/>
      <c r="K20" s="12"/>
      <c r="L20" s="9"/>
      <c r="M20" s="330"/>
      <c r="N20" s="66"/>
    </row>
    <row r="21" spans="1:14" s="1" customFormat="1" ht="24.75" customHeight="1">
      <c r="A21" s="6" t="s">
        <v>20</v>
      </c>
      <c r="B21" s="7"/>
      <c r="C21" s="8"/>
      <c r="D21" s="8"/>
      <c r="E21" s="8"/>
      <c r="F21" s="7"/>
      <c r="G21" s="7"/>
      <c r="H21" s="7"/>
      <c r="I21" s="7"/>
      <c r="J21" s="7"/>
      <c r="K21" s="7"/>
      <c r="L21" s="7"/>
      <c r="M21" s="329"/>
      <c r="N21" s="66"/>
    </row>
    <row r="22" spans="1:15" s="1" customFormat="1" ht="25.5" customHeight="1">
      <c r="A22" s="2" t="s">
        <v>8</v>
      </c>
      <c r="B22" s="18" t="s">
        <v>9</v>
      </c>
      <c r="C22" s="18" t="s">
        <v>5</v>
      </c>
      <c r="D22" s="18" t="s">
        <v>6</v>
      </c>
      <c r="E22" s="18" t="s">
        <v>7</v>
      </c>
      <c r="F22" s="2" t="s">
        <v>38</v>
      </c>
      <c r="G22" s="2" t="s">
        <v>39</v>
      </c>
      <c r="H22" s="2" t="s">
        <v>40</v>
      </c>
      <c r="I22" s="2" t="s">
        <v>41</v>
      </c>
      <c r="J22" s="2" t="s">
        <v>42</v>
      </c>
      <c r="K22" s="2" t="s">
        <v>43</v>
      </c>
      <c r="L22" s="17" t="s">
        <v>10</v>
      </c>
      <c r="M22" s="451" t="s">
        <v>44</v>
      </c>
      <c r="N22" s="67" t="s">
        <v>100</v>
      </c>
      <c r="O22" s="471" t="s">
        <v>505</v>
      </c>
    </row>
    <row r="23" spans="1:14" s="1" customFormat="1" ht="12.75">
      <c r="A23" s="5" t="s">
        <v>22</v>
      </c>
      <c r="B23" s="137" t="s">
        <v>134</v>
      </c>
      <c r="C23" s="55">
        <v>1955</v>
      </c>
      <c r="D23" s="12">
        <v>17071</v>
      </c>
      <c r="E23" s="203" t="s">
        <v>355</v>
      </c>
      <c r="F23" s="4">
        <f>20+18+18+18+18</f>
        <v>92</v>
      </c>
      <c r="G23" s="4">
        <f>18+20+19+18+20</f>
        <v>95</v>
      </c>
      <c r="H23" s="4">
        <f>19+19+18+18+19</f>
        <v>93</v>
      </c>
      <c r="I23" s="4">
        <f>20+19+20+20+19</f>
        <v>98</v>
      </c>
      <c r="J23" s="4">
        <f>19+18+15+19+18</f>
        <v>89</v>
      </c>
      <c r="K23" s="4">
        <f>19+18+20+18+18</f>
        <v>93</v>
      </c>
      <c r="L23" s="9">
        <f aca="true" t="shared" si="1" ref="L23:L39">SUM(F23:K23)</f>
        <v>560</v>
      </c>
      <c r="M23" s="328" t="s">
        <v>358</v>
      </c>
      <c r="N23" s="66">
        <f aca="true" t="shared" si="2" ref="N23:N39">SUM(F23:I23)</f>
        <v>378</v>
      </c>
    </row>
    <row r="24" spans="1:14" s="1" customFormat="1" ht="12.75">
      <c r="A24" s="5" t="s">
        <v>23</v>
      </c>
      <c r="B24" s="137" t="s">
        <v>48</v>
      </c>
      <c r="C24" s="55">
        <v>1976</v>
      </c>
      <c r="D24" s="203">
        <v>32462</v>
      </c>
      <c r="E24" s="203" t="s">
        <v>97</v>
      </c>
      <c r="F24" s="4">
        <f>18+17+16+19+19</f>
        <v>89</v>
      </c>
      <c r="G24" s="4">
        <f>18+19+18+18+18</f>
        <v>91</v>
      </c>
      <c r="H24" s="4">
        <f>19+20+16+19+17</f>
        <v>91</v>
      </c>
      <c r="I24" s="4">
        <f>19+17+19+19+19</f>
        <v>93</v>
      </c>
      <c r="J24" s="4">
        <f>20+19+20+19+20</f>
        <v>98</v>
      </c>
      <c r="K24" s="4">
        <f>20+19+19+19+19</f>
        <v>96</v>
      </c>
      <c r="L24" s="9">
        <f t="shared" si="1"/>
        <v>558</v>
      </c>
      <c r="M24" s="328" t="s">
        <v>266</v>
      </c>
      <c r="N24" s="66">
        <f t="shared" si="2"/>
        <v>364</v>
      </c>
    </row>
    <row r="25" spans="1:15" s="1" customFormat="1" ht="12.75">
      <c r="A25" s="5" t="s">
        <v>24</v>
      </c>
      <c r="B25" s="367" t="s">
        <v>297</v>
      </c>
      <c r="C25" s="109">
        <v>1969</v>
      </c>
      <c r="D25" s="4" t="s">
        <v>350</v>
      </c>
      <c r="E25" s="109" t="s">
        <v>351</v>
      </c>
      <c r="F25" s="4">
        <f>20+18+20+19+18</f>
        <v>95</v>
      </c>
      <c r="G25" s="4">
        <f>20+19+19+17+18</f>
        <v>93</v>
      </c>
      <c r="H25" s="4">
        <f>19+16+20+17+20</f>
        <v>92</v>
      </c>
      <c r="I25" s="4">
        <f>19+20+17+18+18</f>
        <v>92</v>
      </c>
      <c r="J25" s="4">
        <f>19+16+19+18+19</f>
        <v>91</v>
      </c>
      <c r="K25" s="4">
        <f>18+19+19+17+18</f>
        <v>91</v>
      </c>
      <c r="L25" s="9">
        <f t="shared" si="1"/>
        <v>554</v>
      </c>
      <c r="M25" s="328" t="s">
        <v>266</v>
      </c>
      <c r="N25" s="66">
        <f t="shared" si="2"/>
        <v>372</v>
      </c>
      <c r="O25" s="28">
        <v>26</v>
      </c>
    </row>
    <row r="26" spans="1:15" s="1" customFormat="1" ht="12.75">
      <c r="A26" s="5" t="s">
        <v>25</v>
      </c>
      <c r="B26" s="137" t="s">
        <v>129</v>
      </c>
      <c r="C26" s="55">
        <v>1935</v>
      </c>
      <c r="D26" s="4">
        <v>1794</v>
      </c>
      <c r="E26" s="109" t="s">
        <v>348</v>
      </c>
      <c r="F26" s="4">
        <f>18+18+19+16+19</f>
        <v>90</v>
      </c>
      <c r="G26" s="4">
        <f>18+19+19+19+18</f>
        <v>93</v>
      </c>
      <c r="H26" s="4">
        <f>18+19+17+18+19</f>
        <v>91</v>
      </c>
      <c r="I26" s="4">
        <f>19+18+20+20+19</f>
        <v>96</v>
      </c>
      <c r="J26" s="4">
        <f>20+18+20+18+18</f>
        <v>94</v>
      </c>
      <c r="K26" s="4">
        <f>17+20+16+19+18</f>
        <v>90</v>
      </c>
      <c r="L26" s="9">
        <f t="shared" si="1"/>
        <v>554</v>
      </c>
      <c r="M26" s="328" t="s">
        <v>499</v>
      </c>
      <c r="N26" s="66">
        <f t="shared" si="2"/>
        <v>370</v>
      </c>
      <c r="O26" s="28">
        <v>22</v>
      </c>
    </row>
    <row r="27" spans="1:14" s="1" customFormat="1" ht="12.75">
      <c r="A27" s="5" t="s">
        <v>26</v>
      </c>
      <c r="B27" s="366" t="s">
        <v>344</v>
      </c>
      <c r="C27" s="369">
        <v>1975</v>
      </c>
      <c r="D27" s="4">
        <v>23672</v>
      </c>
      <c r="E27" s="4" t="s">
        <v>349</v>
      </c>
      <c r="F27" s="4">
        <v>89</v>
      </c>
      <c r="G27" s="4">
        <f>19+18+18+18+18</f>
        <v>91</v>
      </c>
      <c r="H27" s="4">
        <f>18+19+17+18+20</f>
        <v>92</v>
      </c>
      <c r="I27" s="4">
        <f>20+19+19+18+18</f>
        <v>94</v>
      </c>
      <c r="J27" s="4">
        <f>20+19+18+17+15</f>
        <v>89</v>
      </c>
      <c r="K27" s="4">
        <f>18+18+20+19+19</f>
        <v>94</v>
      </c>
      <c r="L27" s="9">
        <f t="shared" si="1"/>
        <v>549</v>
      </c>
      <c r="M27" s="328" t="s">
        <v>266</v>
      </c>
      <c r="N27" s="66">
        <f t="shared" si="2"/>
        <v>366</v>
      </c>
    </row>
    <row r="28" spans="1:14" s="1" customFormat="1" ht="12.75">
      <c r="A28" s="5" t="s">
        <v>27</v>
      </c>
      <c r="B28" s="137" t="s">
        <v>360</v>
      </c>
      <c r="C28" s="109">
        <v>1970</v>
      </c>
      <c r="D28" s="4">
        <v>29592</v>
      </c>
      <c r="E28" s="4" t="s">
        <v>349</v>
      </c>
      <c r="F28" s="4">
        <v>89</v>
      </c>
      <c r="G28" s="4">
        <v>91</v>
      </c>
      <c r="H28" s="4">
        <v>97</v>
      </c>
      <c r="I28" s="4">
        <v>93</v>
      </c>
      <c r="J28" s="4">
        <v>92</v>
      </c>
      <c r="K28" s="4">
        <v>86</v>
      </c>
      <c r="L28" s="9">
        <f t="shared" si="1"/>
        <v>548</v>
      </c>
      <c r="M28" s="328" t="s">
        <v>266</v>
      </c>
      <c r="N28" s="66">
        <f t="shared" si="2"/>
        <v>370</v>
      </c>
    </row>
    <row r="29" spans="1:14" s="1" customFormat="1" ht="12.75">
      <c r="A29" s="5" t="s">
        <v>28</v>
      </c>
      <c r="B29" s="159" t="s">
        <v>96</v>
      </c>
      <c r="C29" s="56">
        <v>1992</v>
      </c>
      <c r="D29" s="160">
        <v>35409</v>
      </c>
      <c r="E29" s="56" t="s">
        <v>98</v>
      </c>
      <c r="F29" s="4">
        <v>86</v>
      </c>
      <c r="G29" s="4">
        <v>92</v>
      </c>
      <c r="H29" s="4">
        <v>96</v>
      </c>
      <c r="I29" s="4">
        <v>92</v>
      </c>
      <c r="J29" s="4">
        <v>90</v>
      </c>
      <c r="K29" s="4">
        <v>91</v>
      </c>
      <c r="L29" s="9">
        <f t="shared" si="1"/>
        <v>547</v>
      </c>
      <c r="M29" s="328" t="s">
        <v>266</v>
      </c>
      <c r="N29" s="66">
        <f t="shared" si="2"/>
        <v>366</v>
      </c>
    </row>
    <row r="30" spans="1:14" s="1" customFormat="1" ht="12.75">
      <c r="A30" s="5" t="s">
        <v>29</v>
      </c>
      <c r="B30" s="137" t="s">
        <v>284</v>
      </c>
      <c r="C30" s="109">
        <v>1957</v>
      </c>
      <c r="D30" s="4">
        <v>32651</v>
      </c>
      <c r="E30" s="4" t="s">
        <v>349</v>
      </c>
      <c r="F30" s="4">
        <v>87</v>
      </c>
      <c r="G30" s="4">
        <v>86</v>
      </c>
      <c r="H30" s="4">
        <v>93</v>
      </c>
      <c r="I30" s="4">
        <v>92</v>
      </c>
      <c r="J30" s="4">
        <v>91</v>
      </c>
      <c r="K30" s="4">
        <v>93</v>
      </c>
      <c r="L30" s="9">
        <f t="shared" si="1"/>
        <v>542</v>
      </c>
      <c r="M30" s="328" t="s">
        <v>266</v>
      </c>
      <c r="N30" s="66">
        <f t="shared" si="2"/>
        <v>358</v>
      </c>
    </row>
    <row r="31" spans="1:14" s="1" customFormat="1" ht="12.75">
      <c r="A31" s="5" t="s">
        <v>30</v>
      </c>
      <c r="B31" s="137" t="s">
        <v>49</v>
      </c>
      <c r="C31" s="55">
        <v>1954</v>
      </c>
      <c r="D31" s="4">
        <v>17785</v>
      </c>
      <c r="E31" s="4" t="s">
        <v>97</v>
      </c>
      <c r="F31" s="4">
        <v>81</v>
      </c>
      <c r="G31" s="4">
        <v>91</v>
      </c>
      <c r="H31" s="4">
        <v>91</v>
      </c>
      <c r="I31" s="4">
        <v>91</v>
      </c>
      <c r="J31" s="4">
        <v>93</v>
      </c>
      <c r="K31" s="4">
        <v>90</v>
      </c>
      <c r="L31" s="9">
        <f t="shared" si="1"/>
        <v>537</v>
      </c>
      <c r="M31" s="328" t="s">
        <v>265</v>
      </c>
      <c r="N31" s="66">
        <f t="shared" si="2"/>
        <v>354</v>
      </c>
    </row>
    <row r="32" spans="1:14" s="1" customFormat="1" ht="12.75">
      <c r="A32" s="5" t="s">
        <v>31</v>
      </c>
      <c r="B32" s="137" t="s">
        <v>57</v>
      </c>
      <c r="C32" s="55">
        <v>1952</v>
      </c>
      <c r="D32" s="374" t="s">
        <v>446</v>
      </c>
      <c r="E32" s="56" t="s">
        <v>448</v>
      </c>
      <c r="F32" s="4">
        <f>19+17+20+19+18</f>
        <v>93</v>
      </c>
      <c r="G32" s="4">
        <f>18+15+18+17+20</f>
        <v>88</v>
      </c>
      <c r="H32" s="4">
        <f>18+16+17+18+17</f>
        <v>86</v>
      </c>
      <c r="I32" s="4">
        <f>18+17+19+19+18</f>
        <v>91</v>
      </c>
      <c r="J32" s="4">
        <f>18+18+20+20+18</f>
        <v>94</v>
      </c>
      <c r="K32" s="4">
        <f>19+16+19+16+14</f>
        <v>84</v>
      </c>
      <c r="L32" s="9">
        <f t="shared" si="1"/>
        <v>536</v>
      </c>
      <c r="M32" s="328" t="s">
        <v>358</v>
      </c>
      <c r="N32" s="66">
        <f t="shared" si="2"/>
        <v>358</v>
      </c>
    </row>
    <row r="33" spans="1:14" s="1" customFormat="1" ht="12.75">
      <c r="A33" s="5" t="s">
        <v>32</v>
      </c>
      <c r="B33" s="367" t="s">
        <v>175</v>
      </c>
      <c r="C33" s="109">
        <v>1971</v>
      </c>
      <c r="D33" s="4" t="s">
        <v>340</v>
      </c>
      <c r="E33" s="4" t="s">
        <v>341</v>
      </c>
      <c r="F33" s="4">
        <v>83</v>
      </c>
      <c r="G33" s="4">
        <v>90</v>
      </c>
      <c r="H33" s="4">
        <v>89</v>
      </c>
      <c r="I33" s="4">
        <v>91</v>
      </c>
      <c r="J33" s="4">
        <v>87</v>
      </c>
      <c r="K33" s="4">
        <v>91</v>
      </c>
      <c r="L33" s="9">
        <f t="shared" si="1"/>
        <v>531</v>
      </c>
      <c r="M33" s="328" t="s">
        <v>265</v>
      </c>
      <c r="N33" s="66">
        <f t="shared" si="2"/>
        <v>353</v>
      </c>
    </row>
    <row r="34" spans="1:14" s="1" customFormat="1" ht="12.75">
      <c r="A34" s="5" t="s">
        <v>33</v>
      </c>
      <c r="B34" s="137" t="s">
        <v>51</v>
      </c>
      <c r="C34" s="109">
        <v>1940</v>
      </c>
      <c r="D34" s="4" t="s">
        <v>456</v>
      </c>
      <c r="E34" s="107" t="s">
        <v>341</v>
      </c>
      <c r="F34" s="4">
        <f>14+18+17+18+18</f>
        <v>85</v>
      </c>
      <c r="G34" s="4">
        <f>19+17+14+19+17</f>
        <v>86</v>
      </c>
      <c r="H34" s="4">
        <f>20+18+19+18+19</f>
        <v>94</v>
      </c>
      <c r="I34" s="4">
        <f>16+17+19+17+17</f>
        <v>86</v>
      </c>
      <c r="J34" s="4">
        <f>16+16+18+20+13</f>
        <v>83</v>
      </c>
      <c r="K34" s="4">
        <f>19+19+19+16+18</f>
        <v>91</v>
      </c>
      <c r="L34" s="9">
        <f t="shared" si="1"/>
        <v>525</v>
      </c>
      <c r="M34" s="328" t="s">
        <v>266</v>
      </c>
      <c r="N34" s="66">
        <f t="shared" si="2"/>
        <v>351</v>
      </c>
    </row>
    <row r="35" spans="1:14" s="1" customFormat="1" ht="12.75">
      <c r="A35" s="5" t="s">
        <v>34</v>
      </c>
      <c r="B35" s="137" t="s">
        <v>412</v>
      </c>
      <c r="C35" s="55">
        <v>1959</v>
      </c>
      <c r="D35" s="12" t="s">
        <v>414</v>
      </c>
      <c r="E35" s="12" t="s">
        <v>413</v>
      </c>
      <c r="F35" s="4">
        <v>87</v>
      </c>
      <c r="G35" s="4">
        <v>85</v>
      </c>
      <c r="H35" s="4">
        <v>76</v>
      </c>
      <c r="I35" s="4">
        <v>87</v>
      </c>
      <c r="J35" s="4">
        <v>92</v>
      </c>
      <c r="K35" s="4">
        <v>84</v>
      </c>
      <c r="L35" s="9">
        <f t="shared" si="1"/>
        <v>511</v>
      </c>
      <c r="M35" s="328"/>
      <c r="N35" s="66">
        <f t="shared" si="2"/>
        <v>335</v>
      </c>
    </row>
    <row r="36" spans="1:14" s="1" customFormat="1" ht="12.75">
      <c r="A36" s="5" t="s">
        <v>35</v>
      </c>
      <c r="B36" s="137" t="s">
        <v>412</v>
      </c>
      <c r="C36" s="55">
        <v>1959</v>
      </c>
      <c r="D36" s="12" t="s">
        <v>414</v>
      </c>
      <c r="E36" s="12" t="s">
        <v>413</v>
      </c>
      <c r="F36" s="4">
        <v>87</v>
      </c>
      <c r="G36" s="4">
        <v>85</v>
      </c>
      <c r="H36" s="4">
        <v>76</v>
      </c>
      <c r="I36" s="4">
        <v>87</v>
      </c>
      <c r="J36" s="4">
        <v>92</v>
      </c>
      <c r="K36" s="4">
        <v>84</v>
      </c>
      <c r="L36" s="9">
        <f t="shared" si="1"/>
        <v>511</v>
      </c>
      <c r="M36" s="328"/>
      <c r="N36" s="66">
        <f t="shared" si="2"/>
        <v>335</v>
      </c>
    </row>
    <row r="37" spans="1:14" s="1" customFormat="1" ht="12.75">
      <c r="A37" s="5" t="s">
        <v>36</v>
      </c>
      <c r="B37" s="365" t="s">
        <v>310</v>
      </c>
      <c r="C37" s="109">
        <v>1946</v>
      </c>
      <c r="D37" s="472">
        <v>10147</v>
      </c>
      <c r="E37" s="4" t="s">
        <v>287</v>
      </c>
      <c r="F37" s="4">
        <v>86</v>
      </c>
      <c r="G37" s="4">
        <v>84</v>
      </c>
      <c r="H37" s="4">
        <v>82</v>
      </c>
      <c r="I37" s="4">
        <v>81</v>
      </c>
      <c r="J37" s="4">
        <v>83</v>
      </c>
      <c r="K37" s="4">
        <v>87</v>
      </c>
      <c r="L37" s="9">
        <f t="shared" si="1"/>
        <v>503</v>
      </c>
      <c r="M37" s="328"/>
      <c r="N37" s="66">
        <f t="shared" si="2"/>
        <v>333</v>
      </c>
    </row>
    <row r="38" spans="1:14" s="1" customFormat="1" ht="12.75">
      <c r="A38" s="5" t="s">
        <v>37</v>
      </c>
      <c r="B38" s="137" t="s">
        <v>159</v>
      </c>
      <c r="C38" s="55">
        <v>1972</v>
      </c>
      <c r="D38" s="4">
        <v>37828</v>
      </c>
      <c r="E38" s="109" t="s">
        <v>152</v>
      </c>
      <c r="F38" s="4">
        <f>15+19+20+18+17</f>
        <v>89</v>
      </c>
      <c r="G38" s="4">
        <f>17+18+20+19+16</f>
        <v>90</v>
      </c>
      <c r="H38" s="4">
        <f>17+19+15+17+13</f>
        <v>81</v>
      </c>
      <c r="I38" s="4">
        <f>13+17+15+17+16</f>
        <v>78</v>
      </c>
      <c r="J38" s="4">
        <f>18+12+10+16+18</f>
        <v>74</v>
      </c>
      <c r="K38" s="4">
        <f>15+19+18+19+17</f>
        <v>88</v>
      </c>
      <c r="L38" s="9">
        <f t="shared" si="1"/>
        <v>500</v>
      </c>
      <c r="M38" s="328"/>
      <c r="N38" s="66">
        <f t="shared" si="2"/>
        <v>338</v>
      </c>
    </row>
    <row r="39" spans="1:14" s="1" customFormat="1" ht="12.75">
      <c r="A39" s="5" t="s">
        <v>160</v>
      </c>
      <c r="B39" s="137" t="s">
        <v>148</v>
      </c>
      <c r="C39" s="55">
        <v>1978</v>
      </c>
      <c r="D39" s="4" t="s">
        <v>353</v>
      </c>
      <c r="E39" s="4" t="s">
        <v>354</v>
      </c>
      <c r="F39" s="4">
        <f>16+18+14+15+18</f>
        <v>81</v>
      </c>
      <c r="G39" s="4">
        <f>15+15+15+18+17</f>
        <v>80</v>
      </c>
      <c r="H39" s="4">
        <f>20+16+15+15+18</f>
        <v>84</v>
      </c>
      <c r="I39" s="4">
        <f>15+14+18+17+17</f>
        <v>81</v>
      </c>
      <c r="J39" s="4">
        <f>15+16+15+13+16</f>
        <v>75</v>
      </c>
      <c r="K39" s="4">
        <f>17+16+15+18+19</f>
        <v>85</v>
      </c>
      <c r="L39" s="9">
        <f t="shared" si="1"/>
        <v>486</v>
      </c>
      <c r="M39" s="328"/>
      <c r="N39" s="66">
        <f t="shared" si="2"/>
        <v>326</v>
      </c>
    </row>
    <row r="40" spans="1:14" s="1" customFormat="1" ht="12.75">
      <c r="A40" s="5"/>
      <c r="B40" s="137"/>
      <c r="C40" s="55"/>
      <c r="D40" s="12"/>
      <c r="E40" s="12"/>
      <c r="F40" s="4"/>
      <c r="G40" s="4"/>
      <c r="H40" s="4"/>
      <c r="I40" s="4"/>
      <c r="J40" s="4"/>
      <c r="K40" s="4"/>
      <c r="L40" s="9"/>
      <c r="M40" s="328"/>
      <c r="N40" s="66"/>
    </row>
    <row r="41" spans="1:14" s="1" customFormat="1" ht="24.75" customHeight="1">
      <c r="A41" s="6" t="s">
        <v>21</v>
      </c>
      <c r="B41" s="7"/>
      <c r="C41" s="8"/>
      <c r="D41" s="8"/>
      <c r="E41" s="8"/>
      <c r="F41" s="7"/>
      <c r="G41" s="7"/>
      <c r="H41" s="7"/>
      <c r="I41" s="7"/>
      <c r="J41" s="7"/>
      <c r="K41" s="7"/>
      <c r="L41" s="7"/>
      <c r="M41" s="329"/>
      <c r="N41" s="66"/>
    </row>
    <row r="42" spans="1:14" s="1" customFormat="1" ht="25.5" customHeight="1">
      <c r="A42" s="2" t="s">
        <v>8</v>
      </c>
      <c r="B42" s="18" t="s">
        <v>17</v>
      </c>
      <c r="C42" s="18" t="s">
        <v>11</v>
      </c>
      <c r="D42" s="18" t="s">
        <v>12</v>
      </c>
      <c r="E42" s="18" t="s">
        <v>13</v>
      </c>
      <c r="F42" s="507" t="s">
        <v>14</v>
      </c>
      <c r="G42" s="507"/>
      <c r="H42" s="507" t="s">
        <v>15</v>
      </c>
      <c r="I42" s="507"/>
      <c r="J42" s="507" t="s">
        <v>16</v>
      </c>
      <c r="K42" s="507"/>
      <c r="L42" s="17" t="s">
        <v>10</v>
      </c>
      <c r="M42" s="451"/>
      <c r="N42" s="66"/>
    </row>
    <row r="43" spans="1:14" s="1" customFormat="1" ht="15">
      <c r="A43" s="5" t="s">
        <v>22</v>
      </c>
      <c r="B43" s="385" t="s">
        <v>364</v>
      </c>
      <c r="C43" s="57" t="s">
        <v>362</v>
      </c>
      <c r="D43" s="57" t="s">
        <v>361</v>
      </c>
      <c r="E43" s="57" t="s">
        <v>363</v>
      </c>
      <c r="F43" s="503">
        <v>358</v>
      </c>
      <c r="G43" s="503"/>
      <c r="H43" s="503">
        <v>370</v>
      </c>
      <c r="I43" s="503"/>
      <c r="J43" s="503">
        <v>366</v>
      </c>
      <c r="K43" s="503"/>
      <c r="L43" s="328">
        <f>SUM(F43:K43)</f>
        <v>1094</v>
      </c>
      <c r="M43" s="328"/>
      <c r="N43" s="66"/>
    </row>
    <row r="44" spans="1:14" s="379" customFormat="1" ht="15">
      <c r="A44" s="384" t="s">
        <v>23</v>
      </c>
      <c r="B44" s="387" t="s">
        <v>418</v>
      </c>
      <c r="C44" s="453" t="s">
        <v>367</v>
      </c>
      <c r="D44" s="386" t="s">
        <v>421</v>
      </c>
      <c r="E44" s="57" t="s">
        <v>365</v>
      </c>
      <c r="F44" s="503">
        <v>354</v>
      </c>
      <c r="G44" s="503"/>
      <c r="H44" s="503">
        <v>354</v>
      </c>
      <c r="I44" s="503"/>
      <c r="J44" s="503">
        <v>364</v>
      </c>
      <c r="K44" s="503"/>
      <c r="L44" s="328">
        <f>SUM(F44:K44)</f>
        <v>1072</v>
      </c>
      <c r="M44" s="328"/>
      <c r="N44" s="330"/>
    </row>
    <row r="45" spans="1:14" s="1" customFormat="1" ht="12.75">
      <c r="A45" s="5" t="s">
        <v>24</v>
      </c>
      <c r="B45" s="389" t="s">
        <v>60</v>
      </c>
      <c r="C45" s="58" t="s">
        <v>368</v>
      </c>
      <c r="D45" s="57" t="s">
        <v>394</v>
      </c>
      <c r="E45" s="386" t="s">
        <v>504</v>
      </c>
      <c r="F45" s="503">
        <v>358</v>
      </c>
      <c r="G45" s="503"/>
      <c r="H45" s="503">
        <v>364</v>
      </c>
      <c r="I45" s="503"/>
      <c r="J45" s="503">
        <v>347</v>
      </c>
      <c r="K45" s="503"/>
      <c r="L45" s="328">
        <f>SUM(F45:K45)</f>
        <v>1069</v>
      </c>
      <c r="M45" s="328"/>
      <c r="N45" s="66"/>
    </row>
    <row r="46" spans="1:13" s="1" customFormat="1" ht="12.75">
      <c r="A46" s="5" t="s">
        <v>25</v>
      </c>
      <c r="B46" s="28"/>
      <c r="C46" s="4"/>
      <c r="D46" s="4"/>
      <c r="F46" s="504"/>
      <c r="G46" s="504"/>
      <c r="H46" s="504"/>
      <c r="I46" s="504"/>
      <c r="J46" s="504"/>
      <c r="K46" s="504"/>
      <c r="L46" s="9">
        <f>SUM(F46:K46)</f>
        <v>0</v>
      </c>
      <c r="M46" s="452"/>
    </row>
    <row r="47" spans="1:14" s="1" customFormat="1" ht="14.25">
      <c r="A47" s="5" t="s">
        <v>26</v>
      </c>
      <c r="B47" s="28"/>
      <c r="C47" s="86"/>
      <c r="D47" s="86"/>
      <c r="E47" s="8"/>
      <c r="F47" s="504"/>
      <c r="G47" s="504"/>
      <c r="H47" s="504"/>
      <c r="I47" s="504"/>
      <c r="J47" s="504"/>
      <c r="K47" s="504"/>
      <c r="L47" s="9">
        <f>SUM(F47:K47)</f>
        <v>0</v>
      </c>
      <c r="M47" s="328"/>
      <c r="N47" s="66"/>
    </row>
    <row r="48" spans="1:14" s="1" customFormat="1" ht="12.75">
      <c r="A48" s="5"/>
      <c r="E48" s="28" t="s">
        <v>94</v>
      </c>
      <c r="M48" s="328"/>
      <c r="N48" s="66"/>
    </row>
    <row r="49" spans="1:14" s="1" customFormat="1" ht="12.75">
      <c r="A49" s="5"/>
      <c r="B49" s="9"/>
      <c r="C49" s="4"/>
      <c r="D49" s="4"/>
      <c r="E49" s="28" t="s">
        <v>95</v>
      </c>
      <c r="F49" s="504"/>
      <c r="G49" s="504"/>
      <c r="H49" s="504"/>
      <c r="I49" s="504"/>
      <c r="J49" s="504"/>
      <c r="K49" s="504"/>
      <c r="L49" s="9"/>
      <c r="M49" s="328"/>
      <c r="N49" s="66"/>
    </row>
    <row r="50" spans="1:14" s="1" customFormat="1" ht="12.75">
      <c r="A50" s="5"/>
      <c r="C50" s="4"/>
      <c r="D50" s="4"/>
      <c r="E50" s="4"/>
      <c r="F50" s="504"/>
      <c r="G50" s="504"/>
      <c r="H50" s="504"/>
      <c r="I50" s="504"/>
      <c r="J50" s="504"/>
      <c r="K50" s="504"/>
      <c r="L50" s="9"/>
      <c r="M50" s="328"/>
      <c r="N50" s="66"/>
    </row>
    <row r="51" spans="3:14" s="1" customFormat="1" ht="12.75">
      <c r="C51" s="4"/>
      <c r="D51" s="4"/>
      <c r="E51" s="4"/>
      <c r="F51" s="4"/>
      <c r="G51" s="4"/>
      <c r="H51" s="4"/>
      <c r="I51" s="4"/>
      <c r="J51" s="4"/>
      <c r="K51" s="4"/>
      <c r="L51" s="4"/>
      <c r="M51" s="328"/>
      <c r="N51" s="66"/>
    </row>
    <row r="52" spans="3:14" s="1" customFormat="1" ht="12.75">
      <c r="C52" s="4"/>
      <c r="D52" s="4"/>
      <c r="E52" s="4"/>
      <c r="F52" s="4"/>
      <c r="G52" s="4"/>
      <c r="H52" s="4"/>
      <c r="I52" s="4"/>
      <c r="J52" s="4"/>
      <c r="K52" s="4"/>
      <c r="L52" s="4"/>
      <c r="M52" s="328"/>
      <c r="N52" s="66"/>
    </row>
    <row r="53" spans="3:14" s="1" customFormat="1" ht="12.75">
      <c r="C53" s="4"/>
      <c r="D53" s="4"/>
      <c r="E53" s="4"/>
      <c r="F53" s="4"/>
      <c r="G53" s="4"/>
      <c r="H53" s="4"/>
      <c r="I53" s="4"/>
      <c r="J53" s="4"/>
      <c r="K53" s="4"/>
      <c r="L53" s="4"/>
      <c r="M53" s="328"/>
      <c r="N53" s="66"/>
    </row>
    <row r="54" spans="3:14" s="1" customFormat="1" ht="12.75">
      <c r="C54" s="4"/>
      <c r="D54" s="4"/>
      <c r="E54" s="4"/>
      <c r="F54" s="4"/>
      <c r="G54" s="4"/>
      <c r="H54" s="4"/>
      <c r="I54" s="4"/>
      <c r="J54" s="4"/>
      <c r="K54" s="4"/>
      <c r="L54" s="4"/>
      <c r="M54" s="328"/>
      <c r="N54" s="66"/>
    </row>
    <row r="55" spans="3:14" s="1" customFormat="1" ht="12.75">
      <c r="C55" s="4"/>
      <c r="D55" s="4"/>
      <c r="E55" s="4"/>
      <c r="F55" s="4"/>
      <c r="G55" s="4"/>
      <c r="H55" s="4"/>
      <c r="I55" s="4"/>
      <c r="J55" s="4"/>
      <c r="K55" s="4"/>
      <c r="L55" s="4"/>
      <c r="M55" s="328"/>
      <c r="N55" s="66"/>
    </row>
    <row r="56" spans="3:14" s="1" customFormat="1" ht="12.75">
      <c r="C56" s="4"/>
      <c r="D56" s="4"/>
      <c r="E56" s="4"/>
      <c r="F56" s="4"/>
      <c r="G56" s="4"/>
      <c r="H56" s="4"/>
      <c r="I56" s="4"/>
      <c r="J56" s="4"/>
      <c r="K56" s="4"/>
      <c r="L56" s="4"/>
      <c r="M56" s="328"/>
      <c r="N56" s="66"/>
    </row>
    <row r="57" spans="3:14" s="1" customFormat="1" ht="12.75">
      <c r="C57" s="4"/>
      <c r="D57" s="4"/>
      <c r="F57" s="4"/>
      <c r="G57" s="4"/>
      <c r="H57" s="4"/>
      <c r="I57" s="4"/>
      <c r="J57" s="4"/>
      <c r="K57" s="4"/>
      <c r="L57" s="4"/>
      <c r="M57" s="328"/>
      <c r="N57" s="66"/>
    </row>
    <row r="58" spans="3:14" s="1" customFormat="1" ht="12.75">
      <c r="C58" s="4"/>
      <c r="D58" s="4"/>
      <c r="F58" s="4"/>
      <c r="G58" s="4"/>
      <c r="H58" s="4"/>
      <c r="I58" s="4"/>
      <c r="J58" s="4"/>
      <c r="K58" s="4"/>
      <c r="L58" s="4"/>
      <c r="M58" s="328"/>
      <c r="N58" s="66"/>
    </row>
    <row r="59" spans="3:14" s="1" customFormat="1" ht="12.75">
      <c r="C59" s="4"/>
      <c r="D59" s="4"/>
      <c r="E59" s="4"/>
      <c r="F59" s="4"/>
      <c r="G59" s="4"/>
      <c r="H59" s="4"/>
      <c r="I59" s="4"/>
      <c r="J59" s="4"/>
      <c r="K59" s="4"/>
      <c r="L59" s="4"/>
      <c r="M59" s="328"/>
      <c r="N59" s="66"/>
    </row>
    <row r="60" spans="3:14" s="1" customFormat="1" ht="12.75">
      <c r="C60" s="4"/>
      <c r="D60" s="4"/>
      <c r="E60" s="4"/>
      <c r="F60" s="4"/>
      <c r="G60" s="4"/>
      <c r="H60" s="4"/>
      <c r="I60" s="4"/>
      <c r="J60" s="4"/>
      <c r="K60" s="4"/>
      <c r="L60" s="4"/>
      <c r="M60" s="328"/>
      <c r="N60" s="66"/>
    </row>
    <row r="61" spans="3:14" s="1" customFormat="1" ht="12.75">
      <c r="C61" s="4"/>
      <c r="D61" s="4"/>
      <c r="E61" s="4"/>
      <c r="F61" s="4"/>
      <c r="G61" s="4"/>
      <c r="H61" s="4"/>
      <c r="I61" s="4"/>
      <c r="J61" s="4"/>
      <c r="K61" s="4"/>
      <c r="L61" s="4"/>
      <c r="M61" s="328"/>
      <c r="N61" s="66"/>
    </row>
    <row r="62" spans="3:14" s="1" customFormat="1" ht="12.75">
      <c r="C62" s="4"/>
      <c r="D62" s="4"/>
      <c r="E62" s="4"/>
      <c r="F62" s="4"/>
      <c r="G62" s="4"/>
      <c r="H62" s="4"/>
      <c r="I62" s="4"/>
      <c r="J62" s="4"/>
      <c r="K62" s="4"/>
      <c r="L62" s="4"/>
      <c r="M62" s="328"/>
      <c r="N62" s="66"/>
    </row>
    <row r="63" spans="3:14" s="1" customFormat="1" ht="12.75">
      <c r="C63" s="4"/>
      <c r="D63" s="4"/>
      <c r="E63" s="4"/>
      <c r="F63" s="4"/>
      <c r="G63" s="4"/>
      <c r="H63" s="4"/>
      <c r="I63" s="4"/>
      <c r="J63" s="4"/>
      <c r="K63" s="4"/>
      <c r="L63" s="4"/>
      <c r="M63" s="328"/>
      <c r="N63" s="66"/>
    </row>
    <row r="64" spans="3:14" s="1" customFormat="1" ht="12.75">
      <c r="C64" s="4"/>
      <c r="D64" s="4"/>
      <c r="E64" s="4"/>
      <c r="F64" s="4"/>
      <c r="G64" s="4"/>
      <c r="H64" s="4"/>
      <c r="I64" s="4"/>
      <c r="J64" s="4"/>
      <c r="K64" s="4"/>
      <c r="L64" s="4"/>
      <c r="M64" s="328"/>
      <c r="N64" s="66"/>
    </row>
    <row r="65" spans="3:14" s="1" customFormat="1" ht="12.75">
      <c r="C65" s="4"/>
      <c r="D65" s="4"/>
      <c r="E65" s="4"/>
      <c r="F65" s="4"/>
      <c r="G65" s="4"/>
      <c r="H65" s="4"/>
      <c r="I65" s="4"/>
      <c r="J65" s="4"/>
      <c r="K65" s="4"/>
      <c r="L65" s="4"/>
      <c r="M65" s="328"/>
      <c r="N65" s="66"/>
    </row>
    <row r="66" spans="3:14" s="1" customFormat="1" ht="12.75">
      <c r="C66" s="4"/>
      <c r="D66" s="4"/>
      <c r="E66" s="4"/>
      <c r="F66" s="4"/>
      <c r="G66" s="4"/>
      <c r="H66" s="4"/>
      <c r="I66" s="4"/>
      <c r="J66" s="4"/>
      <c r="K66" s="4"/>
      <c r="L66" s="4"/>
      <c r="M66" s="328"/>
      <c r="N66" s="66"/>
    </row>
    <row r="67" spans="3:14" s="1" customFormat="1" ht="12.75">
      <c r="C67" s="4"/>
      <c r="D67" s="4"/>
      <c r="E67" s="4"/>
      <c r="F67" s="4"/>
      <c r="G67" s="4"/>
      <c r="H67" s="4"/>
      <c r="I67" s="4"/>
      <c r="J67" s="4"/>
      <c r="K67" s="4"/>
      <c r="L67" s="4"/>
      <c r="M67" s="328"/>
      <c r="N67" s="66"/>
    </row>
    <row r="68" spans="3:14" s="1" customFormat="1" ht="12.75">
      <c r="C68" s="4"/>
      <c r="D68" s="4"/>
      <c r="E68" s="4"/>
      <c r="F68" s="4"/>
      <c r="G68" s="4"/>
      <c r="H68" s="4"/>
      <c r="I68" s="4"/>
      <c r="J68" s="4"/>
      <c r="K68" s="4"/>
      <c r="L68" s="4"/>
      <c r="M68" s="328"/>
      <c r="N68" s="66"/>
    </row>
    <row r="69" spans="3:14" s="1" customFormat="1" ht="12.75">
      <c r="C69" s="4"/>
      <c r="D69" s="4"/>
      <c r="E69" s="4"/>
      <c r="F69" s="4"/>
      <c r="G69" s="4"/>
      <c r="H69" s="4"/>
      <c r="I69" s="4"/>
      <c r="J69" s="4"/>
      <c r="K69" s="4"/>
      <c r="L69" s="4"/>
      <c r="M69" s="328"/>
      <c r="N69" s="66"/>
    </row>
    <row r="70" spans="3:14" s="1" customFormat="1" ht="12.75">
      <c r="C70" s="4"/>
      <c r="D70" s="4"/>
      <c r="E70" s="4"/>
      <c r="F70" s="4"/>
      <c r="G70" s="4"/>
      <c r="H70" s="4"/>
      <c r="I70" s="4"/>
      <c r="J70" s="4"/>
      <c r="K70" s="4"/>
      <c r="L70" s="4"/>
      <c r="M70" s="328"/>
      <c r="N70" s="66"/>
    </row>
    <row r="71" spans="3:14" s="1" customFormat="1" ht="12.75">
      <c r="C71" s="4"/>
      <c r="D71" s="4"/>
      <c r="E71" s="4"/>
      <c r="F71" s="4"/>
      <c r="G71" s="4"/>
      <c r="H71" s="4"/>
      <c r="I71" s="4"/>
      <c r="J71" s="4"/>
      <c r="K71" s="4"/>
      <c r="L71" s="4"/>
      <c r="M71" s="328"/>
      <c r="N71" s="66"/>
    </row>
    <row r="72" spans="3:14" s="1" customFormat="1" ht="12.75">
      <c r="C72" s="4"/>
      <c r="D72" s="4"/>
      <c r="E72" s="4"/>
      <c r="F72" s="4"/>
      <c r="G72" s="4"/>
      <c r="H72" s="4"/>
      <c r="I72" s="4"/>
      <c r="J72" s="4"/>
      <c r="K72" s="4"/>
      <c r="L72" s="4"/>
      <c r="M72" s="328"/>
      <c r="N72" s="66"/>
    </row>
    <row r="73" spans="3:14" s="1" customFormat="1" ht="12.75">
      <c r="C73" s="4"/>
      <c r="D73" s="4"/>
      <c r="E73" s="4"/>
      <c r="F73" s="4"/>
      <c r="G73" s="4"/>
      <c r="H73" s="4"/>
      <c r="I73" s="4"/>
      <c r="J73" s="4"/>
      <c r="K73" s="4"/>
      <c r="L73" s="4"/>
      <c r="M73" s="328"/>
      <c r="N73" s="66"/>
    </row>
    <row r="74" spans="3:14" s="1" customFormat="1" ht="12.75">
      <c r="C74" s="4"/>
      <c r="D74" s="4"/>
      <c r="E74" s="4"/>
      <c r="F74" s="4"/>
      <c r="G74" s="4"/>
      <c r="H74" s="4"/>
      <c r="I74" s="4"/>
      <c r="J74" s="4"/>
      <c r="K74" s="4"/>
      <c r="L74" s="4"/>
      <c r="M74" s="328"/>
      <c r="N74" s="66"/>
    </row>
    <row r="75" spans="3:14" s="1" customFormat="1" ht="12.75">
      <c r="C75" s="4"/>
      <c r="D75" s="4"/>
      <c r="E75" s="4"/>
      <c r="F75" s="4"/>
      <c r="G75" s="4"/>
      <c r="H75" s="4"/>
      <c r="I75" s="4"/>
      <c r="J75" s="4"/>
      <c r="K75" s="4"/>
      <c r="L75" s="4"/>
      <c r="M75" s="328"/>
      <c r="N75" s="66"/>
    </row>
    <row r="76" spans="3:14" s="1" customFormat="1" ht="12.75">
      <c r="C76" s="4"/>
      <c r="D76" s="4"/>
      <c r="E76" s="4"/>
      <c r="F76" s="4"/>
      <c r="G76" s="4"/>
      <c r="H76" s="4"/>
      <c r="I76" s="4"/>
      <c r="J76" s="4"/>
      <c r="K76" s="4"/>
      <c r="L76" s="4"/>
      <c r="M76" s="328"/>
      <c r="N76" s="66"/>
    </row>
    <row r="77" spans="3:14" s="1" customFormat="1" ht="12.75">
      <c r="C77" s="4"/>
      <c r="D77" s="4"/>
      <c r="E77" s="4"/>
      <c r="F77" s="4"/>
      <c r="G77" s="4"/>
      <c r="H77" s="4"/>
      <c r="I77" s="4"/>
      <c r="J77" s="4"/>
      <c r="K77" s="4"/>
      <c r="L77" s="4"/>
      <c r="M77" s="328"/>
      <c r="N77" s="66"/>
    </row>
    <row r="78" spans="3:14" s="1" customFormat="1" ht="12.75">
      <c r="C78" s="4"/>
      <c r="D78" s="4"/>
      <c r="E78" s="4"/>
      <c r="F78" s="4"/>
      <c r="G78" s="4"/>
      <c r="H78" s="4"/>
      <c r="I78" s="4"/>
      <c r="J78" s="4"/>
      <c r="K78" s="4"/>
      <c r="L78" s="4"/>
      <c r="M78" s="328"/>
      <c r="N78" s="66"/>
    </row>
    <row r="79" spans="3:14" s="1" customFormat="1" ht="12.75">
      <c r="C79" s="4"/>
      <c r="D79" s="4"/>
      <c r="E79" s="4"/>
      <c r="F79" s="4"/>
      <c r="G79" s="4"/>
      <c r="H79" s="4"/>
      <c r="I79" s="4"/>
      <c r="J79" s="4"/>
      <c r="K79" s="4"/>
      <c r="L79" s="4"/>
      <c r="M79" s="328"/>
      <c r="N79" s="66"/>
    </row>
    <row r="80" spans="3:14" s="1" customFormat="1" ht="12.75">
      <c r="C80" s="4"/>
      <c r="D80" s="4"/>
      <c r="E80" s="4"/>
      <c r="F80" s="4"/>
      <c r="G80" s="4"/>
      <c r="H80" s="4"/>
      <c r="I80" s="4"/>
      <c r="J80" s="4"/>
      <c r="K80" s="4"/>
      <c r="L80" s="4"/>
      <c r="M80" s="328"/>
      <c r="N80" s="66"/>
    </row>
    <row r="81" spans="3:14" s="1" customFormat="1" ht="12.75">
      <c r="C81" s="4"/>
      <c r="D81" s="4"/>
      <c r="E81" s="4"/>
      <c r="F81" s="4"/>
      <c r="G81" s="4"/>
      <c r="H81" s="4"/>
      <c r="I81" s="4"/>
      <c r="J81" s="4"/>
      <c r="K81" s="4"/>
      <c r="L81" s="4"/>
      <c r="M81" s="328"/>
      <c r="N81" s="66"/>
    </row>
    <row r="82" spans="3:14" s="1" customFormat="1" ht="12.75">
      <c r="C82" s="4"/>
      <c r="D82" s="4"/>
      <c r="E82" s="4"/>
      <c r="F82" s="4"/>
      <c r="G82" s="4"/>
      <c r="H82" s="4"/>
      <c r="I82" s="4"/>
      <c r="J82" s="4"/>
      <c r="K82" s="4"/>
      <c r="L82" s="4"/>
      <c r="M82" s="328"/>
      <c r="N82" s="66"/>
    </row>
    <row r="83" spans="3:14" s="1" customFormat="1" ht="12.75">
      <c r="C83" s="4"/>
      <c r="D83" s="4"/>
      <c r="E83" s="4"/>
      <c r="F83" s="4"/>
      <c r="G83" s="4"/>
      <c r="H83" s="4"/>
      <c r="I83" s="4"/>
      <c r="J83" s="4"/>
      <c r="K83" s="4"/>
      <c r="L83" s="4"/>
      <c r="M83" s="328"/>
      <c r="N83" s="66"/>
    </row>
    <row r="84" spans="3:14" s="1" customFormat="1" ht="12.75">
      <c r="C84" s="4"/>
      <c r="D84" s="4"/>
      <c r="E84" s="4"/>
      <c r="F84" s="4"/>
      <c r="G84" s="4"/>
      <c r="H84" s="4"/>
      <c r="I84" s="4"/>
      <c r="J84" s="4"/>
      <c r="K84" s="4"/>
      <c r="L84" s="4"/>
      <c r="M84" s="328"/>
      <c r="N84" s="66"/>
    </row>
    <row r="85" spans="3:14" s="1" customFormat="1" ht="12.75">
      <c r="C85" s="4"/>
      <c r="D85" s="4"/>
      <c r="E85" s="4"/>
      <c r="F85" s="4"/>
      <c r="G85" s="4"/>
      <c r="H85" s="4"/>
      <c r="I85" s="4"/>
      <c r="J85" s="4"/>
      <c r="K85" s="4"/>
      <c r="L85" s="4"/>
      <c r="M85" s="328"/>
      <c r="N85" s="66"/>
    </row>
    <row r="86" spans="3:14" s="1" customFormat="1" ht="12.75">
      <c r="C86" s="4"/>
      <c r="D86" s="4"/>
      <c r="E86" s="4"/>
      <c r="F86" s="4"/>
      <c r="G86" s="4"/>
      <c r="H86" s="4"/>
      <c r="I86" s="4"/>
      <c r="J86" s="4"/>
      <c r="K86" s="4"/>
      <c r="L86" s="4"/>
      <c r="M86" s="328"/>
      <c r="N86" s="66"/>
    </row>
    <row r="87" spans="3:14" s="1" customFormat="1" ht="12.75">
      <c r="C87" s="4"/>
      <c r="D87" s="4"/>
      <c r="E87" s="4"/>
      <c r="F87" s="4"/>
      <c r="G87" s="4"/>
      <c r="H87" s="4"/>
      <c r="I87" s="4"/>
      <c r="J87" s="4"/>
      <c r="K87" s="4"/>
      <c r="L87" s="4"/>
      <c r="M87" s="328"/>
      <c r="N87" s="66"/>
    </row>
    <row r="88" spans="3:14" s="1" customFormat="1" ht="12.75">
      <c r="C88" s="4"/>
      <c r="D88" s="4"/>
      <c r="E88" s="4"/>
      <c r="F88" s="4"/>
      <c r="G88" s="4"/>
      <c r="H88" s="4"/>
      <c r="I88" s="4"/>
      <c r="J88" s="4"/>
      <c r="K88" s="4"/>
      <c r="L88" s="4"/>
      <c r="M88" s="328"/>
      <c r="N88" s="66"/>
    </row>
    <row r="89" spans="3:14" s="1" customFormat="1" ht="20.25">
      <c r="C89" s="4"/>
      <c r="D89" s="4"/>
      <c r="E89" s="4"/>
      <c r="F89" s="4"/>
      <c r="G89" s="4"/>
      <c r="H89" s="4"/>
      <c r="I89" s="4"/>
      <c r="J89" s="4"/>
      <c r="K89" s="4"/>
      <c r="L89" s="4"/>
      <c r="M89" s="114"/>
      <c r="N89"/>
    </row>
    <row r="90" spans="3:14" s="1" customFormat="1" ht="12.75">
      <c r="C90" s="4"/>
      <c r="D90" s="4"/>
      <c r="E90" s="4"/>
      <c r="F90" s="4"/>
      <c r="G90" s="4"/>
      <c r="H90" s="4"/>
      <c r="I90" s="4"/>
      <c r="J90" s="4"/>
      <c r="K90" s="4"/>
      <c r="L90" s="4"/>
      <c r="M90" s="23"/>
      <c r="N90" s="66"/>
    </row>
    <row r="91" spans="3:14" s="1" customFormat="1" ht="12.75">
      <c r="C91" s="4"/>
      <c r="D91" s="4"/>
      <c r="E91" s="4"/>
      <c r="F91" s="4"/>
      <c r="G91" s="4"/>
      <c r="H91" s="4"/>
      <c r="I91" s="4"/>
      <c r="J91" s="4"/>
      <c r="K91" s="4"/>
      <c r="L91" s="4"/>
      <c r="M91" s="328"/>
      <c r="N91" s="66"/>
    </row>
    <row r="92" spans="3:14" s="1" customFormat="1" ht="12.75">
      <c r="C92" s="4"/>
      <c r="D92" s="4"/>
      <c r="E92" s="4"/>
      <c r="F92" s="4"/>
      <c r="G92" s="4"/>
      <c r="H92" s="4"/>
      <c r="I92" s="4"/>
      <c r="J92" s="4"/>
      <c r="K92" s="4"/>
      <c r="L92" s="4"/>
      <c r="M92" s="328"/>
      <c r="N92" s="66"/>
    </row>
    <row r="93" spans="3:14" s="1" customFormat="1" ht="12.75">
      <c r="C93" s="4"/>
      <c r="D93" s="4"/>
      <c r="E93" s="4"/>
      <c r="F93" s="4"/>
      <c r="G93" s="4"/>
      <c r="H93" s="4"/>
      <c r="I93" s="4"/>
      <c r="J93" s="4"/>
      <c r="K93" s="4"/>
      <c r="L93" s="4"/>
      <c r="M93" s="328"/>
      <c r="N93" s="66"/>
    </row>
    <row r="94" spans="3:14" s="1" customFormat="1" ht="12.75">
      <c r="C94" s="4"/>
      <c r="D94" s="4"/>
      <c r="E94" s="4"/>
      <c r="F94" s="4"/>
      <c r="G94" s="4"/>
      <c r="H94" s="4"/>
      <c r="I94" s="4"/>
      <c r="J94" s="4"/>
      <c r="K94" s="4"/>
      <c r="L94" s="4"/>
      <c r="M94" s="328"/>
      <c r="N94" s="66"/>
    </row>
    <row r="95" spans="3:14" s="1" customFormat="1" ht="12.75">
      <c r="C95" s="4"/>
      <c r="D95" s="4"/>
      <c r="E95" s="4"/>
      <c r="F95" s="4"/>
      <c r="G95" s="4"/>
      <c r="H95" s="4"/>
      <c r="I95" s="4"/>
      <c r="J95" s="4"/>
      <c r="K95" s="4"/>
      <c r="L95" s="4"/>
      <c r="M95" s="328"/>
      <c r="N95" s="66"/>
    </row>
    <row r="96" spans="3:14" s="1" customFormat="1" ht="12.75">
      <c r="C96" s="4"/>
      <c r="D96" s="4"/>
      <c r="E96" s="4"/>
      <c r="F96" s="4"/>
      <c r="G96" s="4"/>
      <c r="H96" s="4"/>
      <c r="I96" s="4"/>
      <c r="J96" s="4"/>
      <c r="K96" s="4"/>
      <c r="L96" s="4"/>
      <c r="M96" s="328"/>
      <c r="N96" s="66"/>
    </row>
    <row r="97" spans="3:14" s="1" customFormat="1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328"/>
      <c r="N97" s="66"/>
    </row>
    <row r="98" spans="3:14" s="1" customFormat="1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328"/>
      <c r="N98" s="66"/>
    </row>
    <row r="99" spans="3:14" s="1" customFormat="1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328"/>
      <c r="N99" s="66"/>
    </row>
    <row r="100" spans="3:14" s="1" customFormat="1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328"/>
      <c r="N100" s="66"/>
    </row>
    <row r="101" spans="3:14" s="1" customFormat="1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328"/>
      <c r="N101" s="66"/>
    </row>
    <row r="102" spans="3:14" s="1" customFormat="1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328"/>
      <c r="N102" s="66"/>
    </row>
    <row r="103" spans="3:14" s="1" customFormat="1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328"/>
      <c r="N103" s="66"/>
    </row>
    <row r="104" spans="3:14" s="1" customFormat="1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328"/>
      <c r="N104" s="66"/>
    </row>
    <row r="105" spans="3:14" s="1" customFormat="1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328"/>
      <c r="N105" s="66"/>
    </row>
    <row r="106" spans="3:14" s="1" customFormat="1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328"/>
      <c r="N106" s="66"/>
    </row>
    <row r="107" spans="3:14" s="1" customFormat="1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328"/>
      <c r="N107" s="66"/>
    </row>
    <row r="108" spans="3:14" s="1" customFormat="1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328"/>
      <c r="N108" s="66"/>
    </row>
    <row r="109" spans="3:14" s="1" customFormat="1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328"/>
      <c r="N109" s="66"/>
    </row>
    <row r="110" spans="3:14" s="1" customFormat="1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328"/>
      <c r="N110" s="66"/>
    </row>
    <row r="111" spans="3:14" s="1" customFormat="1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328"/>
      <c r="N111" s="66"/>
    </row>
    <row r="112" spans="3:14" s="1" customFormat="1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328"/>
      <c r="N112" s="66"/>
    </row>
    <row r="113" spans="3:14" s="1" customFormat="1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328"/>
      <c r="N113" s="66"/>
    </row>
    <row r="114" spans="3:14" s="1" customFormat="1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328"/>
      <c r="N114" s="66"/>
    </row>
    <row r="115" spans="3:14" s="1" customFormat="1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328"/>
      <c r="N115" s="66"/>
    </row>
    <row r="116" spans="3:14" s="1" customFormat="1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328"/>
      <c r="N116" s="66"/>
    </row>
    <row r="117" spans="3:14" s="1" customFormat="1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328"/>
      <c r="N117" s="66"/>
    </row>
    <row r="118" spans="3:14" s="1" customFormat="1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328"/>
      <c r="N118" s="66"/>
    </row>
    <row r="119" spans="3:14" s="1" customFormat="1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328"/>
      <c r="N119" s="66"/>
    </row>
    <row r="120" spans="3:14" s="1" customFormat="1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328"/>
      <c r="N120" s="66"/>
    </row>
    <row r="121" spans="3:14" s="1" customFormat="1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328"/>
      <c r="N121" s="66"/>
    </row>
    <row r="122" spans="3:14" s="1" customFormat="1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328"/>
      <c r="N122" s="66"/>
    </row>
    <row r="123" spans="3:14" s="1" customFormat="1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328"/>
      <c r="N123" s="66"/>
    </row>
    <row r="124" spans="3:14" s="1" customFormat="1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328"/>
      <c r="N124" s="66"/>
    </row>
    <row r="125" spans="3:14" s="1" customFormat="1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328"/>
      <c r="N125" s="66"/>
    </row>
    <row r="126" spans="3:14" s="1" customFormat="1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328"/>
      <c r="N126" s="66"/>
    </row>
    <row r="127" spans="3:14" s="1" customFormat="1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328"/>
      <c r="N127" s="66"/>
    </row>
    <row r="128" spans="3:14" s="1" customFormat="1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328"/>
      <c r="N128" s="66"/>
    </row>
    <row r="129" spans="3:14" s="1" customFormat="1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328"/>
      <c r="N129" s="66"/>
    </row>
    <row r="130" spans="3:14" s="1" customFormat="1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328"/>
      <c r="N130" s="66"/>
    </row>
    <row r="131" spans="3:14" s="1" customFormat="1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328"/>
      <c r="N131" s="66"/>
    </row>
    <row r="132" spans="3:14" s="1" customFormat="1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328"/>
      <c r="N132" s="66"/>
    </row>
    <row r="133" spans="3:14" s="1" customFormat="1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328"/>
      <c r="N133" s="66"/>
    </row>
    <row r="134" spans="3:14" s="1" customFormat="1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328"/>
      <c r="N134" s="66"/>
    </row>
    <row r="135" spans="3:14" s="1" customFormat="1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328"/>
      <c r="N135" s="66"/>
    </row>
    <row r="136" spans="3:14" s="1" customFormat="1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328"/>
      <c r="N136" s="66"/>
    </row>
    <row r="137" spans="3:14" s="1" customFormat="1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328"/>
      <c r="N137" s="66"/>
    </row>
    <row r="138" spans="3:14" s="1" customFormat="1" ht="12.7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328"/>
      <c r="N138" s="66"/>
    </row>
    <row r="139" spans="3:14" s="1" customFormat="1" ht="12.7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328"/>
      <c r="N139" s="66"/>
    </row>
    <row r="140" spans="3:14" s="1" customFormat="1" ht="12.7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328"/>
      <c r="N140" s="66"/>
    </row>
    <row r="141" spans="3:14" s="1" customFormat="1" ht="12.7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328"/>
      <c r="N141" s="66"/>
    </row>
    <row r="142" spans="3:14" s="1" customFormat="1" ht="12.7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328"/>
      <c r="N142" s="66"/>
    </row>
    <row r="143" spans="3:14" s="1" customFormat="1" ht="12.7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328"/>
      <c r="N143" s="66"/>
    </row>
    <row r="144" spans="3:14" s="1" customFormat="1" ht="12.7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328"/>
      <c r="N144" s="66"/>
    </row>
    <row r="145" spans="3:14" s="1" customFormat="1" ht="12.7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328"/>
      <c r="N145" s="66"/>
    </row>
    <row r="146" spans="3:14" s="1" customFormat="1" ht="12.7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328"/>
      <c r="N146" s="66"/>
    </row>
    <row r="147" spans="3:14" s="1" customFormat="1" ht="12.7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328"/>
      <c r="N147" s="66"/>
    </row>
    <row r="148" spans="3:14" s="1" customFormat="1" ht="12.7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328"/>
      <c r="N148" s="66"/>
    </row>
    <row r="149" spans="3:14" s="1" customFormat="1" ht="12.7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328"/>
      <c r="N149" s="66"/>
    </row>
    <row r="150" spans="3:14" s="1" customFormat="1" ht="12.7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328"/>
      <c r="N150" s="66"/>
    </row>
  </sheetData>
  <sheetProtection/>
  <mergeCells count="26">
    <mergeCell ref="F47:G47"/>
    <mergeCell ref="H47:I47"/>
    <mergeCell ref="H50:I50"/>
    <mergeCell ref="F45:G45"/>
    <mergeCell ref="F46:G46"/>
    <mergeCell ref="F49:G49"/>
    <mergeCell ref="F50:G50"/>
    <mergeCell ref="H45:I45"/>
    <mergeCell ref="H46:I46"/>
    <mergeCell ref="H49:I49"/>
    <mergeCell ref="J50:K50"/>
    <mergeCell ref="J45:K45"/>
    <mergeCell ref="J46:K46"/>
    <mergeCell ref="J49:K49"/>
    <mergeCell ref="J47:K47"/>
    <mergeCell ref="A1:M1"/>
    <mergeCell ref="C4:D4"/>
    <mergeCell ref="F42:G42"/>
    <mergeCell ref="H42:I42"/>
    <mergeCell ref="J42:K42"/>
    <mergeCell ref="F43:G43"/>
    <mergeCell ref="H43:I43"/>
    <mergeCell ref="J43:K43"/>
    <mergeCell ref="F44:G44"/>
    <mergeCell ref="H44:I44"/>
    <mergeCell ref="J44:K44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3" r:id="rId1"/>
  <ignoredErrors>
    <ignoredError sqref="N28:N39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 tint="0.34999001026153564"/>
    <pageSetUpPr fitToPage="1"/>
  </sheetPr>
  <dimension ref="A1:O151"/>
  <sheetViews>
    <sheetView zoomScale="80" zoomScaleNormal="80" zoomScalePageLayoutView="0" workbookViewId="0" topLeftCell="A7">
      <selection activeCell="N29" sqref="N29:N34"/>
    </sheetView>
  </sheetViews>
  <sheetFormatPr defaultColWidth="9.140625" defaultRowHeight="12.75"/>
  <cols>
    <col min="1" max="1" width="7.00390625" style="0" customWidth="1"/>
    <col min="2" max="2" width="21.57421875" style="0" customWidth="1"/>
    <col min="3" max="5" width="17.7109375" style="3" customWidth="1"/>
    <col min="6" max="11" width="4.7109375" style="3" customWidth="1"/>
    <col min="12" max="12" width="8.7109375" style="3" customWidth="1"/>
    <col min="13" max="13" width="5.28125" style="327" customWidth="1"/>
    <col min="14" max="14" width="9.140625" style="76" customWidth="1"/>
  </cols>
  <sheetData>
    <row r="1" spans="1:14" s="91" customFormat="1" ht="16.5" customHeight="1">
      <c r="A1" s="508" t="s">
        <v>0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90"/>
    </row>
    <row r="2" spans="1:14" s="96" customFormat="1" ht="30" customHeight="1">
      <c r="A2" s="92"/>
      <c r="B2" s="93"/>
      <c r="C2" s="97"/>
      <c r="D2" s="98" t="s">
        <v>157</v>
      </c>
      <c r="E2" s="97"/>
      <c r="F2" s="93"/>
      <c r="G2" s="93"/>
      <c r="H2" s="93"/>
      <c r="I2" s="93"/>
      <c r="J2" s="93"/>
      <c r="K2" s="93"/>
      <c r="L2" s="93"/>
      <c r="M2" s="94"/>
      <c r="N2" s="95"/>
    </row>
    <row r="3" spans="1:14" s="96" customFormat="1" ht="24.75" customHeight="1">
      <c r="A3" s="92"/>
      <c r="B3" s="93"/>
      <c r="C3" s="211" t="s">
        <v>319</v>
      </c>
      <c r="D3" s="212"/>
      <c r="E3" s="211"/>
      <c r="F3" s="93"/>
      <c r="G3" s="93"/>
      <c r="H3" s="93"/>
      <c r="I3" s="93"/>
      <c r="J3" s="93"/>
      <c r="K3" s="93"/>
      <c r="L3" s="93"/>
      <c r="M3" s="94"/>
      <c r="N3" s="95"/>
    </row>
    <row r="4" spans="1:8" ht="16.5" customHeight="1">
      <c r="A4" s="10"/>
      <c r="B4" s="11" t="s">
        <v>329</v>
      </c>
      <c r="C4" s="11"/>
      <c r="D4" s="11"/>
      <c r="E4" s="11"/>
      <c r="F4" s="11"/>
      <c r="G4" s="11"/>
      <c r="H4" s="11"/>
    </row>
    <row r="5" spans="1:14" s="208" customFormat="1" ht="15.75">
      <c r="A5" s="19" t="s">
        <v>1</v>
      </c>
      <c r="B5" s="335"/>
      <c r="C5" s="506" t="s">
        <v>328</v>
      </c>
      <c r="D5" s="506"/>
      <c r="E5" s="21"/>
      <c r="F5" s="75"/>
      <c r="G5" s="75"/>
      <c r="H5" s="75"/>
      <c r="I5" s="75"/>
      <c r="J5" s="75"/>
      <c r="K5" s="75"/>
      <c r="L5" s="75"/>
      <c r="M5" s="327"/>
      <c r="N5" s="76"/>
    </row>
    <row r="6" spans="1:14" s="208" customFormat="1" ht="15.75">
      <c r="A6" s="19" t="s">
        <v>2</v>
      </c>
      <c r="B6" s="335"/>
      <c r="C6" s="22" t="s">
        <v>4</v>
      </c>
      <c r="D6" s="21"/>
      <c r="E6" s="21"/>
      <c r="F6" s="75"/>
      <c r="G6" s="75"/>
      <c r="H6" s="75"/>
      <c r="I6" s="75"/>
      <c r="J6" s="75"/>
      <c r="K6" s="75"/>
      <c r="L6" s="75"/>
      <c r="M6" s="327"/>
      <c r="N6" s="76"/>
    </row>
    <row r="7" spans="1:14" s="208" customFormat="1" ht="15.75">
      <c r="A7" s="19" t="s">
        <v>3</v>
      </c>
      <c r="B7" s="335"/>
      <c r="C7" s="22" t="s">
        <v>45</v>
      </c>
      <c r="D7" s="21"/>
      <c r="E7" s="21"/>
      <c r="F7" s="75"/>
      <c r="G7" s="75"/>
      <c r="H7" s="75"/>
      <c r="I7" s="75"/>
      <c r="J7" s="75"/>
      <c r="K7" s="75"/>
      <c r="L7" s="75"/>
      <c r="M7" s="327"/>
      <c r="N7" s="76"/>
    </row>
    <row r="8" spans="3:14" s="1" customFormat="1" ht="12.75">
      <c r="C8" s="4"/>
      <c r="D8" s="4"/>
      <c r="E8" s="4"/>
      <c r="F8" s="4"/>
      <c r="G8" s="4"/>
      <c r="H8" s="4"/>
      <c r="I8" s="4"/>
      <c r="J8" s="4"/>
      <c r="K8" s="4"/>
      <c r="L8" s="4"/>
      <c r="M8" s="328"/>
      <c r="N8" s="66"/>
    </row>
    <row r="9" spans="1:14" s="1" customFormat="1" ht="12.75" customHeight="1">
      <c r="A9" s="6" t="s">
        <v>19</v>
      </c>
      <c r="B9" s="7"/>
      <c r="C9" s="8"/>
      <c r="D9" s="8"/>
      <c r="E9" s="8"/>
      <c r="F9" s="7"/>
      <c r="G9" s="7"/>
      <c r="H9" s="7"/>
      <c r="I9" s="7"/>
      <c r="J9" s="7"/>
      <c r="K9" s="7"/>
      <c r="L9" s="7"/>
      <c r="M9" s="329"/>
      <c r="N9" s="66"/>
    </row>
    <row r="10" spans="1:14" s="1" customFormat="1" ht="25.5" customHeight="1">
      <c r="A10" s="2" t="s">
        <v>8</v>
      </c>
      <c r="B10" s="18" t="s">
        <v>9</v>
      </c>
      <c r="C10" s="18" t="s">
        <v>5</v>
      </c>
      <c r="D10" s="18" t="s">
        <v>6</v>
      </c>
      <c r="E10" s="18" t="s">
        <v>7</v>
      </c>
      <c r="F10" s="2" t="s">
        <v>38</v>
      </c>
      <c r="G10" s="2" t="s">
        <v>39</v>
      </c>
      <c r="H10" s="2" t="s">
        <v>40</v>
      </c>
      <c r="I10" s="2" t="s">
        <v>41</v>
      </c>
      <c r="J10" s="2" t="s">
        <v>42</v>
      </c>
      <c r="K10" s="2" t="s">
        <v>43</v>
      </c>
      <c r="L10" s="17" t="s">
        <v>10</v>
      </c>
      <c r="M10" s="451" t="s">
        <v>44</v>
      </c>
      <c r="N10" s="471" t="s">
        <v>505</v>
      </c>
    </row>
    <row r="11" spans="1:14" s="1" customFormat="1" ht="12.75">
      <c r="A11" s="5" t="s">
        <v>22</v>
      </c>
      <c r="B11" s="137" t="s">
        <v>61</v>
      </c>
      <c r="C11" s="55">
        <v>1958</v>
      </c>
      <c r="D11" s="373">
        <v>4061</v>
      </c>
      <c r="E11" s="55" t="s">
        <v>152</v>
      </c>
      <c r="F11" s="12">
        <f>10+9+9+9+10+9+10+10+9+8</f>
        <v>93</v>
      </c>
      <c r="G11" s="12">
        <f>8+8+9+9+10+9+10+9+10+9</f>
        <v>91</v>
      </c>
      <c r="H11" s="12">
        <f>9+8+10+9+10+7+10+9+10+9</f>
        <v>91</v>
      </c>
      <c r="I11" s="12">
        <f>10+9+10+9+9+9+10+9+10+10</f>
        <v>95</v>
      </c>
      <c r="J11" s="12"/>
      <c r="K11" s="12"/>
      <c r="L11" s="9">
        <f aca="true" t="shared" si="0" ref="L11:L19">SUM(F11:K11)</f>
        <v>370</v>
      </c>
      <c r="M11" s="330" t="s">
        <v>358</v>
      </c>
      <c r="N11" s="66"/>
    </row>
    <row r="12" spans="1:14" s="1" customFormat="1" ht="12.75">
      <c r="A12" s="5" t="s">
        <v>23</v>
      </c>
      <c r="B12" s="137" t="s">
        <v>156</v>
      </c>
      <c r="C12" s="56">
        <v>1990</v>
      </c>
      <c r="D12" s="423">
        <v>38395</v>
      </c>
      <c r="E12" s="8" t="s">
        <v>97</v>
      </c>
      <c r="F12" s="12">
        <f>9+8+10+10+10+8+9+9+9+8</f>
        <v>90</v>
      </c>
      <c r="G12" s="12">
        <f>10+7+7+7+10+9+9+7+9+8</f>
        <v>83</v>
      </c>
      <c r="H12" s="12">
        <f>9+8+10+9+9+8+10+9+10+10</f>
        <v>92</v>
      </c>
      <c r="I12" s="12">
        <f>9+8+10+9+8+8+10+10+9+8</f>
        <v>89</v>
      </c>
      <c r="J12" s="12"/>
      <c r="K12" s="12"/>
      <c r="L12" s="9">
        <f t="shared" si="0"/>
        <v>354</v>
      </c>
      <c r="M12" s="330" t="s">
        <v>265</v>
      </c>
      <c r="N12" s="66"/>
    </row>
    <row r="13" spans="1:14" s="1" customFormat="1" ht="12.75">
      <c r="A13" s="5" t="s">
        <v>24</v>
      </c>
      <c r="B13" s="377" t="s">
        <v>179</v>
      </c>
      <c r="C13" s="417">
        <v>1984</v>
      </c>
      <c r="D13" s="417">
        <v>38394</v>
      </c>
      <c r="E13" s="417" t="s">
        <v>97</v>
      </c>
      <c r="F13" s="12">
        <f>9+8+9+8+10+9+9+7+9+8</f>
        <v>86</v>
      </c>
      <c r="G13" s="12">
        <f>10+8+9+7+9+8+9+9+9+8</f>
        <v>86</v>
      </c>
      <c r="H13" s="12">
        <f>9+8+9+6+10+9+9+9+9+8</f>
        <v>86</v>
      </c>
      <c r="I13" s="12">
        <f>10+9+9+8+10+8+9+8+20</f>
        <v>91</v>
      </c>
      <c r="J13" s="12"/>
      <c r="K13" s="12"/>
      <c r="L13" s="9">
        <f t="shared" si="0"/>
        <v>349</v>
      </c>
      <c r="M13" s="330" t="s">
        <v>265</v>
      </c>
      <c r="N13" s="66"/>
    </row>
    <row r="14" spans="1:14" s="1" customFormat="1" ht="12.75" customHeight="1">
      <c r="A14" s="5" t="s">
        <v>25</v>
      </c>
      <c r="B14" s="377" t="s">
        <v>502</v>
      </c>
      <c r="C14" s="378">
        <v>1994</v>
      </c>
      <c r="D14" s="203">
        <v>37964</v>
      </c>
      <c r="E14" s="55" t="s">
        <v>152</v>
      </c>
      <c r="F14" s="12">
        <f>16+17+17+18+11</f>
        <v>79</v>
      </c>
      <c r="G14" s="12">
        <f>17+17+17+17+16</f>
        <v>84</v>
      </c>
      <c r="H14" s="12">
        <f>17+16+19+17+18</f>
        <v>87</v>
      </c>
      <c r="I14" s="12">
        <f>19+20+14+17+17</f>
        <v>87</v>
      </c>
      <c r="J14" s="12"/>
      <c r="K14" s="12"/>
      <c r="L14" s="9">
        <f t="shared" si="0"/>
        <v>337</v>
      </c>
      <c r="M14" s="330" t="s">
        <v>265</v>
      </c>
      <c r="N14" s="66"/>
    </row>
    <row r="15" spans="1:14" s="1" customFormat="1" ht="12.75">
      <c r="A15" s="5" t="s">
        <v>26</v>
      </c>
      <c r="B15" s="365" t="s">
        <v>259</v>
      </c>
      <c r="C15" s="109">
        <v>1994</v>
      </c>
      <c r="D15" s="109">
        <v>31673</v>
      </c>
      <c r="E15" s="109" t="s">
        <v>352</v>
      </c>
      <c r="F15" s="12">
        <f>19+15+13+16+17</f>
        <v>80</v>
      </c>
      <c r="G15" s="12">
        <f>17+17+17+13+7</f>
        <v>71</v>
      </c>
      <c r="H15" s="12">
        <f>13+11+16+13+17</f>
        <v>70</v>
      </c>
      <c r="I15" s="12">
        <f>19+19+9+18+12</f>
        <v>77</v>
      </c>
      <c r="J15" s="12"/>
      <c r="K15" s="12"/>
      <c r="L15" s="9">
        <f t="shared" si="0"/>
        <v>298</v>
      </c>
      <c r="M15" s="330"/>
      <c r="N15" s="66"/>
    </row>
    <row r="16" spans="1:14" s="1" customFormat="1" ht="12.75">
      <c r="A16" s="5" t="s">
        <v>27</v>
      </c>
      <c r="B16" s="377" t="s">
        <v>497</v>
      </c>
      <c r="C16" s="417">
        <v>1995</v>
      </c>
      <c r="D16" s="417" t="s">
        <v>498</v>
      </c>
      <c r="E16" s="55" t="s">
        <v>152</v>
      </c>
      <c r="F16" s="12">
        <f>13+16+13+17+6</f>
        <v>65</v>
      </c>
      <c r="G16" s="12">
        <f>15+15+18+16+16</f>
        <v>80</v>
      </c>
      <c r="H16" s="12">
        <f>3+17+16+18+16</f>
        <v>70</v>
      </c>
      <c r="I16" s="12">
        <f>7+19+17+18+16</f>
        <v>77</v>
      </c>
      <c r="J16" s="12"/>
      <c r="K16" s="12"/>
      <c r="L16" s="9">
        <f t="shared" si="0"/>
        <v>292</v>
      </c>
      <c r="M16" s="330"/>
      <c r="N16" s="66"/>
    </row>
    <row r="17" spans="1:14" s="1" customFormat="1" ht="12.75">
      <c r="A17" s="5" t="s">
        <v>28</v>
      </c>
      <c r="B17" s="33" t="s">
        <v>435</v>
      </c>
      <c r="C17" s="34">
        <v>1996</v>
      </c>
      <c r="D17" s="34" t="s">
        <v>436</v>
      </c>
      <c r="E17" s="55" t="s">
        <v>341</v>
      </c>
      <c r="F17" s="12">
        <f>9+17+10+17+12</f>
        <v>65</v>
      </c>
      <c r="G17" s="12">
        <f>6+6+9+7+5+2+7+6+9+7</f>
        <v>64</v>
      </c>
      <c r="H17" s="12">
        <f>10+8+8+5+8+4+7+5+6+3</f>
        <v>64</v>
      </c>
      <c r="I17" s="12">
        <f>9+8+5+2+9+8+8+3+8+9</f>
        <v>69</v>
      </c>
      <c r="J17" s="12"/>
      <c r="K17" s="12"/>
      <c r="L17" s="9">
        <f t="shared" si="0"/>
        <v>262</v>
      </c>
      <c r="M17" s="330"/>
      <c r="N17" s="66"/>
    </row>
    <row r="18" spans="1:14" s="1" customFormat="1" ht="12.75">
      <c r="A18" s="5" t="s">
        <v>29</v>
      </c>
      <c r="B18" s="33" t="s">
        <v>508</v>
      </c>
      <c r="C18" s="34">
        <v>1996</v>
      </c>
      <c r="D18" s="34">
        <v>38732</v>
      </c>
      <c r="E18" s="55" t="s">
        <v>509</v>
      </c>
      <c r="F18" s="12">
        <f>16+14+8+11+16</f>
        <v>65</v>
      </c>
      <c r="G18" s="12">
        <f>16+20+5+12+8</f>
        <v>61</v>
      </c>
      <c r="H18" s="12">
        <f>10+15+10+11+8</f>
        <v>54</v>
      </c>
      <c r="I18" s="12">
        <f>14+8+14+14+15</f>
        <v>65</v>
      </c>
      <c r="J18" s="12"/>
      <c r="K18" s="12"/>
      <c r="L18" s="9">
        <f t="shared" si="0"/>
        <v>245</v>
      </c>
      <c r="M18" s="330"/>
      <c r="N18" s="66"/>
    </row>
    <row r="19" spans="1:14" s="1" customFormat="1" ht="12.75">
      <c r="A19" s="5" t="s">
        <v>30</v>
      </c>
      <c r="B19" s="33" t="s">
        <v>510</v>
      </c>
      <c r="C19" s="34">
        <v>1996</v>
      </c>
      <c r="D19" s="34">
        <v>38889</v>
      </c>
      <c r="E19" s="55" t="s">
        <v>509</v>
      </c>
      <c r="F19" s="12">
        <f>5+9+10+3+15</f>
        <v>42</v>
      </c>
      <c r="G19" s="12">
        <f>8+13+5+15+8</f>
        <v>49</v>
      </c>
      <c r="H19" s="12">
        <f>4+14+8+16+11</f>
        <v>53</v>
      </c>
      <c r="I19" s="12">
        <f>2+10+12+5+18</f>
        <v>47</v>
      </c>
      <c r="J19" s="12"/>
      <c r="K19" s="12"/>
      <c r="L19" s="9">
        <f t="shared" si="0"/>
        <v>191</v>
      </c>
      <c r="M19" s="330"/>
      <c r="N19" s="66"/>
    </row>
    <row r="20" spans="1:14" s="1" customFormat="1" ht="12.75">
      <c r="A20" s="5"/>
      <c r="B20" s="202"/>
      <c r="C20" s="203"/>
      <c r="D20" s="203"/>
      <c r="E20" s="203"/>
      <c r="F20" s="12"/>
      <c r="G20" s="12"/>
      <c r="H20" s="12"/>
      <c r="I20" s="12"/>
      <c r="J20" s="12"/>
      <c r="K20" s="12"/>
      <c r="L20" s="9"/>
      <c r="M20" s="330"/>
      <c r="N20" s="66"/>
    </row>
    <row r="21" spans="1:14" s="1" customFormat="1" ht="24.75" customHeight="1">
      <c r="A21" s="6" t="s">
        <v>20</v>
      </c>
      <c r="B21" s="7"/>
      <c r="C21" s="8"/>
      <c r="D21" s="8"/>
      <c r="E21" s="8"/>
      <c r="F21" s="7"/>
      <c r="G21" s="7"/>
      <c r="H21" s="7"/>
      <c r="I21" s="7"/>
      <c r="J21" s="7"/>
      <c r="K21" s="7"/>
      <c r="L21" s="7"/>
      <c r="M21" s="329"/>
      <c r="N21" s="66"/>
    </row>
    <row r="22" spans="1:15" s="89" customFormat="1" ht="25.5" customHeight="1">
      <c r="A22" s="78" t="s">
        <v>8</v>
      </c>
      <c r="B22" s="18" t="s">
        <v>9</v>
      </c>
      <c r="C22" s="18" t="s">
        <v>5</v>
      </c>
      <c r="D22" s="18" t="s">
        <v>6</v>
      </c>
      <c r="E22" s="18" t="s">
        <v>7</v>
      </c>
      <c r="F22" s="78" t="s">
        <v>38</v>
      </c>
      <c r="G22" s="78" t="s">
        <v>39</v>
      </c>
      <c r="H22" s="78" t="s">
        <v>40</v>
      </c>
      <c r="I22" s="78" t="s">
        <v>41</v>
      </c>
      <c r="J22" s="78" t="s">
        <v>42</v>
      </c>
      <c r="K22" s="78" t="s">
        <v>43</v>
      </c>
      <c r="L22" s="17" t="s">
        <v>10</v>
      </c>
      <c r="M22" s="473" t="s">
        <v>44</v>
      </c>
      <c r="N22" s="67" t="s">
        <v>100</v>
      </c>
      <c r="O22" s="471" t="s">
        <v>505</v>
      </c>
    </row>
    <row r="23" spans="1:15" s="1" customFormat="1" ht="12.75">
      <c r="A23" s="5" t="s">
        <v>22</v>
      </c>
      <c r="B23" s="137" t="s">
        <v>129</v>
      </c>
      <c r="C23" s="55">
        <v>1935</v>
      </c>
      <c r="D23" s="4">
        <v>1794</v>
      </c>
      <c r="E23" s="109" t="s">
        <v>348</v>
      </c>
      <c r="F23" s="4">
        <f>20+16+19+20+19</f>
        <v>94</v>
      </c>
      <c r="G23" s="4">
        <f>19+17+19+20+20</f>
        <v>95</v>
      </c>
      <c r="H23" s="4">
        <f>20+19+18+19+20</f>
        <v>96</v>
      </c>
      <c r="I23" s="4">
        <f>18+18+18+18+18</f>
        <v>90</v>
      </c>
      <c r="J23" s="4">
        <f>18+19+17+19+19</f>
        <v>92</v>
      </c>
      <c r="K23" s="4">
        <f>20+16+20+19+17</f>
        <v>92</v>
      </c>
      <c r="L23" s="9">
        <f aca="true" t="shared" si="1" ref="L23:L37">SUM(F23:K23)</f>
        <v>559</v>
      </c>
      <c r="M23" s="328" t="s">
        <v>358</v>
      </c>
      <c r="N23" s="66">
        <f aca="true" t="shared" si="2" ref="N23:N37">SUM(F23:I23)</f>
        <v>375</v>
      </c>
      <c r="O23" s="4"/>
    </row>
    <row r="24" spans="1:15" s="1" customFormat="1" ht="12.75">
      <c r="A24" s="5" t="s">
        <v>23</v>
      </c>
      <c r="B24" s="137" t="s">
        <v>360</v>
      </c>
      <c r="C24" s="109">
        <v>1970</v>
      </c>
      <c r="D24" s="4">
        <v>29592</v>
      </c>
      <c r="E24" s="4" t="s">
        <v>349</v>
      </c>
      <c r="F24" s="4">
        <f>19+19+18+18+20</f>
        <v>94</v>
      </c>
      <c r="G24" s="4">
        <f>20+19+17+18+20</f>
        <v>94</v>
      </c>
      <c r="H24" s="4">
        <f>18+19+17+19+18</f>
        <v>91</v>
      </c>
      <c r="I24" s="4">
        <f>19+20+19+19+20</f>
        <v>97</v>
      </c>
      <c r="J24" s="4">
        <f>19+18+18+19+17</f>
        <v>91</v>
      </c>
      <c r="K24" s="4">
        <f>18+19+17+18+19</f>
        <v>91</v>
      </c>
      <c r="L24" s="9">
        <f t="shared" si="1"/>
        <v>558</v>
      </c>
      <c r="M24" s="328" t="s">
        <v>266</v>
      </c>
      <c r="N24" s="66">
        <f t="shared" si="2"/>
        <v>376</v>
      </c>
      <c r="O24" s="4">
        <v>28</v>
      </c>
    </row>
    <row r="25" spans="1:15" s="1" customFormat="1" ht="12.75">
      <c r="A25" s="5" t="s">
        <v>24</v>
      </c>
      <c r="B25" s="137" t="s">
        <v>48</v>
      </c>
      <c r="C25" s="55">
        <v>1976</v>
      </c>
      <c r="D25" s="203">
        <v>32462</v>
      </c>
      <c r="E25" s="203" t="s">
        <v>97</v>
      </c>
      <c r="F25" s="4">
        <f>19+19+19+18+20</f>
        <v>95</v>
      </c>
      <c r="G25" s="4">
        <f>18+20+19+19+18</f>
        <v>94</v>
      </c>
      <c r="H25" s="4">
        <f>18+20+19+18+19</f>
        <v>94</v>
      </c>
      <c r="I25" s="4">
        <f>19+19+17+18+18</f>
        <v>91</v>
      </c>
      <c r="J25" s="4">
        <f>18+19+19+19+19</f>
        <v>94</v>
      </c>
      <c r="K25" s="4">
        <f>17+18+19+18+18</f>
        <v>90</v>
      </c>
      <c r="L25" s="9">
        <f t="shared" si="1"/>
        <v>558</v>
      </c>
      <c r="M25" s="328" t="s">
        <v>266</v>
      </c>
      <c r="N25" s="66">
        <f t="shared" si="2"/>
        <v>374</v>
      </c>
      <c r="O25" s="4">
        <v>24</v>
      </c>
    </row>
    <row r="26" spans="1:15" s="1" customFormat="1" ht="12.75">
      <c r="A26" s="5" t="s">
        <v>25</v>
      </c>
      <c r="B26" s="367" t="s">
        <v>297</v>
      </c>
      <c r="C26" s="109">
        <v>1969</v>
      </c>
      <c r="D26" s="4" t="s">
        <v>350</v>
      </c>
      <c r="E26" s="109" t="s">
        <v>351</v>
      </c>
      <c r="F26" s="4">
        <f>19+18+17+17+19</f>
        <v>90</v>
      </c>
      <c r="G26" s="4">
        <f>19+16+18+17+19</f>
        <v>89</v>
      </c>
      <c r="H26" s="4">
        <f>18+18+20+20+18</f>
        <v>94</v>
      </c>
      <c r="I26" s="4">
        <f>18+18+17+20+16</f>
        <v>89</v>
      </c>
      <c r="J26" s="4">
        <f>19+19+20+19+20</f>
        <v>97</v>
      </c>
      <c r="K26" s="4">
        <f>19+17+18+18+18</f>
        <v>90</v>
      </c>
      <c r="L26" s="9">
        <f t="shared" si="1"/>
        <v>549</v>
      </c>
      <c r="M26" s="328" t="s">
        <v>266</v>
      </c>
      <c r="N26" s="66">
        <f t="shared" si="2"/>
        <v>362</v>
      </c>
      <c r="O26" s="4">
        <v>21</v>
      </c>
    </row>
    <row r="27" spans="1:15" s="1" customFormat="1" ht="12.75">
      <c r="A27" s="5" t="s">
        <v>26</v>
      </c>
      <c r="B27" s="137" t="s">
        <v>284</v>
      </c>
      <c r="C27" s="109">
        <v>1957</v>
      </c>
      <c r="D27" s="4">
        <v>32651</v>
      </c>
      <c r="E27" s="4" t="s">
        <v>349</v>
      </c>
      <c r="F27" s="4">
        <f>18+19+20+19+18</f>
        <v>94</v>
      </c>
      <c r="G27" s="4">
        <f>16+18+18+20+19</f>
        <v>91</v>
      </c>
      <c r="H27" s="4">
        <f>17+17+20+19+20</f>
        <v>93</v>
      </c>
      <c r="I27" s="4">
        <f>19+18+18+17+19</f>
        <v>91</v>
      </c>
      <c r="J27" s="4">
        <f>19+17+16+18+17</f>
        <v>87</v>
      </c>
      <c r="K27" s="4">
        <f>19+18+20+18+18</f>
        <v>93</v>
      </c>
      <c r="L27" s="9">
        <f t="shared" si="1"/>
        <v>549</v>
      </c>
      <c r="M27" s="328" t="s">
        <v>266</v>
      </c>
      <c r="N27" s="66">
        <f t="shared" si="2"/>
        <v>369</v>
      </c>
      <c r="O27" s="4">
        <v>24</v>
      </c>
    </row>
    <row r="28" spans="1:15" s="1" customFormat="1" ht="12.75">
      <c r="A28" s="5" t="s">
        <v>27</v>
      </c>
      <c r="B28" s="137" t="s">
        <v>49</v>
      </c>
      <c r="C28" s="55">
        <v>1954</v>
      </c>
      <c r="D28" s="4">
        <v>17785</v>
      </c>
      <c r="E28" s="4" t="s">
        <v>97</v>
      </c>
      <c r="F28" s="4">
        <f>16+16+20+18+17</f>
        <v>87</v>
      </c>
      <c r="G28" s="4">
        <f>19+19+18+18+18</f>
        <v>92</v>
      </c>
      <c r="H28" s="4">
        <f>18+19+18+17+18</f>
        <v>90</v>
      </c>
      <c r="I28" s="4">
        <f>17+19+19+20+18</f>
        <v>93</v>
      </c>
      <c r="J28" s="4">
        <f>20+19+16+18+20</f>
        <v>93</v>
      </c>
      <c r="K28" s="4">
        <f>19+18+18+18+18</f>
        <v>91</v>
      </c>
      <c r="L28" s="9">
        <f t="shared" si="1"/>
        <v>546</v>
      </c>
      <c r="M28" s="328" t="s">
        <v>266</v>
      </c>
      <c r="N28" s="66">
        <f t="shared" si="2"/>
        <v>362</v>
      </c>
      <c r="O28" s="4"/>
    </row>
    <row r="29" spans="1:15" s="1" customFormat="1" ht="12.75">
      <c r="A29" s="5" t="s">
        <v>28</v>
      </c>
      <c r="B29" s="366" t="s">
        <v>344</v>
      </c>
      <c r="C29" s="369">
        <v>1975</v>
      </c>
      <c r="D29" s="4">
        <v>23672</v>
      </c>
      <c r="E29" s="4" t="s">
        <v>349</v>
      </c>
      <c r="F29" s="4">
        <v>91</v>
      </c>
      <c r="G29" s="4">
        <v>90</v>
      </c>
      <c r="H29" s="4">
        <v>85</v>
      </c>
      <c r="I29" s="4">
        <v>88</v>
      </c>
      <c r="J29" s="4">
        <v>95</v>
      </c>
      <c r="K29" s="4">
        <f>20+19+19+18+20</f>
        <v>96</v>
      </c>
      <c r="L29" s="9">
        <f t="shared" si="1"/>
        <v>545</v>
      </c>
      <c r="M29" s="328" t="s">
        <v>266</v>
      </c>
      <c r="N29" s="66">
        <f t="shared" si="2"/>
        <v>354</v>
      </c>
      <c r="O29" s="4"/>
    </row>
    <row r="30" spans="1:15" s="1" customFormat="1" ht="12.75">
      <c r="A30" s="5" t="s">
        <v>29</v>
      </c>
      <c r="B30" s="137" t="s">
        <v>134</v>
      </c>
      <c r="C30" s="55">
        <v>1955</v>
      </c>
      <c r="D30" s="12">
        <v>17071</v>
      </c>
      <c r="E30" s="203" t="s">
        <v>355</v>
      </c>
      <c r="F30" s="4">
        <f>17+20+18+19+18</f>
        <v>92</v>
      </c>
      <c r="G30" s="4">
        <f>17+20+17+18+18</f>
        <v>90</v>
      </c>
      <c r="H30" s="4">
        <f>19+18+16+18+18</f>
        <v>89</v>
      </c>
      <c r="I30" s="4">
        <f>15+20+18+17+19</f>
        <v>89</v>
      </c>
      <c r="J30" s="4">
        <f>20+16+17+18+18</f>
        <v>89</v>
      </c>
      <c r="K30" s="4">
        <v>91</v>
      </c>
      <c r="L30" s="9">
        <f t="shared" si="1"/>
        <v>540</v>
      </c>
      <c r="M30" s="328" t="s">
        <v>266</v>
      </c>
      <c r="N30" s="66">
        <f t="shared" si="2"/>
        <v>360</v>
      </c>
      <c r="O30" s="4"/>
    </row>
    <row r="31" spans="1:15" s="1" customFormat="1" ht="12.75">
      <c r="A31" s="5" t="s">
        <v>30</v>
      </c>
      <c r="B31" s="501" t="s">
        <v>288</v>
      </c>
      <c r="C31" s="110">
        <v>1949</v>
      </c>
      <c r="D31" s="499">
        <v>38424</v>
      </c>
      <c r="E31" s="8" t="s">
        <v>287</v>
      </c>
      <c r="F31" s="4">
        <f>18+18+17+16+19</f>
        <v>88</v>
      </c>
      <c r="G31" s="4">
        <f>19+18+18+17+17</f>
        <v>89</v>
      </c>
      <c r="H31" s="4">
        <f>15+19+17+17+17</f>
        <v>85</v>
      </c>
      <c r="I31" s="4">
        <f>18+19+17+18+18</f>
        <v>90</v>
      </c>
      <c r="J31" s="4">
        <f>19+19+17+20+19</f>
        <v>94</v>
      </c>
      <c r="K31" s="4">
        <f>20+17+18+18+17</f>
        <v>90</v>
      </c>
      <c r="L31" s="9">
        <f t="shared" si="1"/>
        <v>536</v>
      </c>
      <c r="M31" s="328" t="s">
        <v>266</v>
      </c>
      <c r="N31" s="66">
        <f t="shared" si="2"/>
        <v>352</v>
      </c>
      <c r="O31" s="4"/>
    </row>
    <row r="32" spans="1:15" s="1" customFormat="1" ht="12.75">
      <c r="A32" s="5" t="s">
        <v>31</v>
      </c>
      <c r="B32" s="137" t="s">
        <v>51</v>
      </c>
      <c r="C32" s="109">
        <v>1940</v>
      </c>
      <c r="D32" s="4" t="s">
        <v>456</v>
      </c>
      <c r="E32" s="107" t="s">
        <v>341</v>
      </c>
      <c r="F32" s="4">
        <f>19+18+19+17+17</f>
        <v>90</v>
      </c>
      <c r="G32" s="4">
        <f>15+16+19+17+18</f>
        <v>85</v>
      </c>
      <c r="H32" s="4">
        <f>18+17+18+19+18</f>
        <v>90</v>
      </c>
      <c r="I32" s="4">
        <f>19+17+19+19+18</f>
        <v>92</v>
      </c>
      <c r="J32" s="4">
        <f>19+20+15+15+19</f>
        <v>88</v>
      </c>
      <c r="K32" s="4">
        <f>17+19+15+16+19</f>
        <v>86</v>
      </c>
      <c r="L32" s="9">
        <f t="shared" si="1"/>
        <v>531</v>
      </c>
      <c r="M32" s="328" t="s">
        <v>266</v>
      </c>
      <c r="N32" s="66">
        <f t="shared" si="2"/>
        <v>357</v>
      </c>
      <c r="O32" s="4"/>
    </row>
    <row r="33" spans="1:15" s="1" customFormat="1" ht="12.75">
      <c r="A33" s="5" t="s">
        <v>32</v>
      </c>
      <c r="B33" s="137" t="s">
        <v>148</v>
      </c>
      <c r="C33" s="55">
        <v>1978</v>
      </c>
      <c r="D33" s="4" t="s">
        <v>353</v>
      </c>
      <c r="E33" s="4" t="s">
        <v>354</v>
      </c>
      <c r="F33" s="4">
        <f>10+9+9+8+8+7+9+8+10+9</f>
        <v>87</v>
      </c>
      <c r="G33" s="4">
        <f>8+7+9+8+9+8+10+10+9+9</f>
        <v>87</v>
      </c>
      <c r="H33" s="4">
        <f>10+8+10+9+10+9+9+8+10+8</f>
        <v>91</v>
      </c>
      <c r="I33" s="4">
        <f>9+8+9+9+10+9+10+8+9+8</f>
        <v>89</v>
      </c>
      <c r="J33" s="4">
        <f>9+8+10+8+10+10+8+8+10+9</f>
        <v>90</v>
      </c>
      <c r="K33" s="4">
        <f>10+9+9+8+10+7+9+7+9+7</f>
        <v>85</v>
      </c>
      <c r="L33" s="9">
        <f t="shared" si="1"/>
        <v>529</v>
      </c>
      <c r="M33" s="328" t="s">
        <v>265</v>
      </c>
      <c r="N33" s="66">
        <f t="shared" si="2"/>
        <v>354</v>
      </c>
      <c r="O33" s="4"/>
    </row>
    <row r="34" spans="1:15" s="1" customFormat="1" ht="12.75">
      <c r="A34" s="5" t="s">
        <v>33</v>
      </c>
      <c r="B34" s="365" t="s">
        <v>310</v>
      </c>
      <c r="C34" s="109">
        <v>1946</v>
      </c>
      <c r="D34" s="472">
        <v>10147</v>
      </c>
      <c r="E34" s="4" t="s">
        <v>287</v>
      </c>
      <c r="F34" s="4">
        <v>82</v>
      </c>
      <c r="G34" s="4">
        <v>80</v>
      </c>
      <c r="H34" s="4">
        <v>86</v>
      </c>
      <c r="I34" s="4">
        <v>88</v>
      </c>
      <c r="J34" s="4">
        <v>86</v>
      </c>
      <c r="K34" s="4">
        <v>90</v>
      </c>
      <c r="L34" s="9">
        <f t="shared" si="1"/>
        <v>512</v>
      </c>
      <c r="M34" s="328" t="s">
        <v>265</v>
      </c>
      <c r="N34" s="66">
        <f t="shared" si="2"/>
        <v>336</v>
      </c>
      <c r="O34" s="4"/>
    </row>
    <row r="35" spans="1:15" s="1" customFormat="1" ht="12.75">
      <c r="A35" s="5" t="s">
        <v>34</v>
      </c>
      <c r="B35" s="367" t="s">
        <v>175</v>
      </c>
      <c r="C35" s="109">
        <v>1971</v>
      </c>
      <c r="D35" s="4" t="s">
        <v>340</v>
      </c>
      <c r="E35" s="4" t="s">
        <v>341</v>
      </c>
      <c r="F35" s="4">
        <f>16+17+16+19+15</f>
        <v>83</v>
      </c>
      <c r="G35" s="4">
        <f>15+12+18+16+18</f>
        <v>79</v>
      </c>
      <c r="H35" s="4">
        <f>15+14+16+20+16</f>
        <v>81</v>
      </c>
      <c r="I35" s="4">
        <f>17+12+16+19+14</f>
        <v>78</v>
      </c>
      <c r="J35" s="4">
        <f>17+19+17+17+18</f>
        <v>88</v>
      </c>
      <c r="K35" s="4">
        <f>16+20+19+19+19</f>
        <v>93</v>
      </c>
      <c r="L35" s="9">
        <f t="shared" si="1"/>
        <v>502</v>
      </c>
      <c r="M35" s="328"/>
      <c r="N35" s="66">
        <f t="shared" si="2"/>
        <v>321</v>
      </c>
      <c r="O35" s="4"/>
    </row>
    <row r="36" spans="1:15" s="1" customFormat="1" ht="12.75">
      <c r="A36" s="5" t="s">
        <v>35</v>
      </c>
      <c r="B36" s="137" t="s">
        <v>159</v>
      </c>
      <c r="C36" s="55">
        <v>1972</v>
      </c>
      <c r="D36" s="4">
        <v>37828</v>
      </c>
      <c r="E36" s="109" t="s">
        <v>152</v>
      </c>
      <c r="F36" s="4">
        <f>18+18+18+17+19</f>
        <v>90</v>
      </c>
      <c r="G36" s="4">
        <f>17+18+17+17+17</f>
        <v>86</v>
      </c>
      <c r="H36" s="4">
        <f>16+18+18+18+13</f>
        <v>83</v>
      </c>
      <c r="I36" s="4">
        <f>19+17+18+18+17</f>
        <v>89</v>
      </c>
      <c r="J36" s="4">
        <f>17+16+16</f>
        <v>49</v>
      </c>
      <c r="K36" s="4">
        <v>0</v>
      </c>
      <c r="L36" s="9">
        <f t="shared" si="1"/>
        <v>397</v>
      </c>
      <c r="M36" s="328"/>
      <c r="N36" s="66">
        <f t="shared" si="2"/>
        <v>348</v>
      </c>
      <c r="O36" s="4"/>
    </row>
    <row r="37" spans="1:15" s="1" customFormat="1" ht="12.75">
      <c r="A37" s="5" t="s">
        <v>36</v>
      </c>
      <c r="B37" s="137" t="s">
        <v>57</v>
      </c>
      <c r="C37" s="55">
        <v>1952</v>
      </c>
      <c r="D37" s="374" t="s">
        <v>446</v>
      </c>
      <c r="E37" s="56" t="s">
        <v>448</v>
      </c>
      <c r="F37" s="510" t="s">
        <v>514</v>
      </c>
      <c r="G37" s="510"/>
      <c r="H37" s="510"/>
      <c r="I37" s="510"/>
      <c r="J37" s="510"/>
      <c r="K37" s="510"/>
      <c r="L37" s="9">
        <f t="shared" si="1"/>
        <v>0</v>
      </c>
      <c r="M37" s="328"/>
      <c r="N37" s="66">
        <f t="shared" si="2"/>
        <v>0</v>
      </c>
      <c r="O37" s="4"/>
    </row>
    <row r="38" spans="1:15" s="1" customFormat="1" ht="12.75">
      <c r="A38" s="5"/>
      <c r="B38" s="500"/>
      <c r="C38" s="55"/>
      <c r="D38" s="12"/>
      <c r="E38" s="502"/>
      <c r="F38" s="4"/>
      <c r="G38" s="4"/>
      <c r="H38" s="4"/>
      <c r="I38" s="4"/>
      <c r="J38" s="4"/>
      <c r="K38" s="4"/>
      <c r="L38" s="9"/>
      <c r="M38" s="328"/>
      <c r="N38" s="66"/>
      <c r="O38" s="4"/>
    </row>
    <row r="39" spans="1:14" s="1" customFormat="1" ht="24.75" customHeight="1">
      <c r="A39" s="6" t="s">
        <v>21</v>
      </c>
      <c r="B39" s="7"/>
      <c r="C39" s="8"/>
      <c r="D39" s="8"/>
      <c r="E39" s="8"/>
      <c r="F39" s="7"/>
      <c r="G39" s="7"/>
      <c r="H39" s="7"/>
      <c r="I39" s="7"/>
      <c r="J39" s="7"/>
      <c r="K39" s="7"/>
      <c r="L39" s="7"/>
      <c r="M39" s="329"/>
      <c r="N39" s="66"/>
    </row>
    <row r="40" spans="1:14" s="1" customFormat="1" ht="25.5" customHeight="1">
      <c r="A40" s="2" t="s">
        <v>8</v>
      </c>
      <c r="B40" s="209" t="s">
        <v>17</v>
      </c>
      <c r="C40" s="209" t="s">
        <v>11</v>
      </c>
      <c r="D40" s="209" t="s">
        <v>12</v>
      </c>
      <c r="E40" s="209" t="s">
        <v>13</v>
      </c>
      <c r="F40" s="507" t="s">
        <v>14</v>
      </c>
      <c r="G40" s="507"/>
      <c r="H40" s="507" t="s">
        <v>15</v>
      </c>
      <c r="I40" s="507"/>
      <c r="J40" s="507" t="s">
        <v>16</v>
      </c>
      <c r="K40" s="507"/>
      <c r="L40" s="210" t="s">
        <v>10</v>
      </c>
      <c r="M40" s="451"/>
      <c r="N40" s="66"/>
    </row>
    <row r="41" spans="1:14" s="1" customFormat="1" ht="15">
      <c r="A41" s="384" t="s">
        <v>22</v>
      </c>
      <c r="B41" s="385" t="s">
        <v>364</v>
      </c>
      <c r="C41" s="57" t="s">
        <v>362</v>
      </c>
      <c r="D41" s="57" t="s">
        <v>361</v>
      </c>
      <c r="E41" s="57" t="s">
        <v>363</v>
      </c>
      <c r="F41" s="503">
        <v>369</v>
      </c>
      <c r="G41" s="503"/>
      <c r="H41" s="503">
        <v>376</v>
      </c>
      <c r="I41" s="503"/>
      <c r="J41" s="503">
        <v>354</v>
      </c>
      <c r="K41" s="503"/>
      <c r="L41" s="328">
        <f>SUM(F41:K41)</f>
        <v>1099</v>
      </c>
      <c r="M41" s="328"/>
      <c r="N41" s="66"/>
    </row>
    <row r="42" spans="1:14" s="379" customFormat="1" ht="15">
      <c r="A42" s="384" t="s">
        <v>23</v>
      </c>
      <c r="B42" s="387" t="s">
        <v>418</v>
      </c>
      <c r="C42" s="58" t="s">
        <v>511</v>
      </c>
      <c r="D42" s="57" t="s">
        <v>365</v>
      </c>
      <c r="E42" s="386" t="s">
        <v>366</v>
      </c>
      <c r="F42" s="503">
        <v>362</v>
      </c>
      <c r="G42" s="503"/>
      <c r="H42" s="503">
        <v>374</v>
      </c>
      <c r="I42" s="503"/>
      <c r="J42" s="503">
        <v>357</v>
      </c>
      <c r="K42" s="503"/>
      <c r="L42" s="328">
        <f>SUM(F42:K42)</f>
        <v>1093</v>
      </c>
      <c r="M42" s="328"/>
      <c r="N42" s="330"/>
    </row>
    <row r="43" spans="1:14" s="1" customFormat="1" ht="12.75">
      <c r="A43" s="384" t="s">
        <v>24</v>
      </c>
      <c r="B43" s="389" t="s">
        <v>60</v>
      </c>
      <c r="C43" s="428" t="s">
        <v>512</v>
      </c>
      <c r="D43" s="429" t="s">
        <v>369</v>
      </c>
      <c r="E43" s="438" t="s">
        <v>513</v>
      </c>
      <c r="F43" s="509">
        <v>370</v>
      </c>
      <c r="G43" s="509"/>
      <c r="H43" s="509">
        <v>348</v>
      </c>
      <c r="I43" s="509"/>
      <c r="J43" s="509">
        <v>337</v>
      </c>
      <c r="K43" s="509"/>
      <c r="L43" s="389">
        <f>SUM(F43:K43)</f>
        <v>1055</v>
      </c>
      <c r="M43" s="328"/>
      <c r="N43" s="66"/>
    </row>
    <row r="44" spans="1:14" s="1" customFormat="1" ht="15.75">
      <c r="A44" s="5" t="s">
        <v>25</v>
      </c>
      <c r="B44" s="474" t="s">
        <v>507</v>
      </c>
      <c r="C44" s="8" t="s">
        <v>375</v>
      </c>
      <c r="D44" s="12" t="s">
        <v>374</v>
      </c>
      <c r="F44" s="504">
        <v>298</v>
      </c>
      <c r="G44" s="504"/>
      <c r="H44" s="504">
        <v>354</v>
      </c>
      <c r="I44" s="504"/>
      <c r="J44" s="504"/>
      <c r="K44" s="504"/>
      <c r="L44" s="9">
        <f>SUM(F44:K44)</f>
        <v>652</v>
      </c>
      <c r="M44" s="328"/>
      <c r="N44" s="66"/>
    </row>
    <row r="45" spans="1:14" s="1" customFormat="1" ht="12.75">
      <c r="A45" s="5"/>
      <c r="B45" s="28"/>
      <c r="C45" s="12"/>
      <c r="D45" s="4"/>
      <c r="E45" s="4"/>
      <c r="F45" s="504"/>
      <c r="G45" s="504"/>
      <c r="H45" s="504"/>
      <c r="I45" s="504"/>
      <c r="J45" s="504"/>
      <c r="K45" s="504"/>
      <c r="L45" s="9"/>
      <c r="M45" s="328"/>
      <c r="N45" s="66"/>
    </row>
    <row r="46" spans="1:14" s="1" customFormat="1" ht="12.75">
      <c r="A46" s="5"/>
      <c r="E46" s="9" t="s">
        <v>94</v>
      </c>
      <c r="M46" s="328"/>
      <c r="N46" s="66"/>
    </row>
    <row r="47" spans="3:14" s="1" customFormat="1" ht="12.75">
      <c r="C47" s="4"/>
      <c r="D47" s="4"/>
      <c r="E47" s="9" t="s">
        <v>95</v>
      </c>
      <c r="F47" s="4"/>
      <c r="G47" s="4"/>
      <c r="H47" s="4"/>
      <c r="I47" s="4"/>
      <c r="J47" s="4"/>
      <c r="K47" s="4"/>
      <c r="L47" s="4"/>
      <c r="M47" s="328"/>
      <c r="N47" s="66"/>
    </row>
    <row r="48" spans="3:14" s="1" customFormat="1" ht="12.75">
      <c r="C48" s="4"/>
      <c r="D48" s="4"/>
      <c r="F48" s="4"/>
      <c r="G48" s="4"/>
      <c r="H48" s="4"/>
      <c r="I48" s="4"/>
      <c r="J48" s="4"/>
      <c r="K48" s="4"/>
      <c r="L48" s="4"/>
      <c r="M48" s="328"/>
      <c r="N48" s="66"/>
    </row>
    <row r="49" spans="3:14" s="1" customFormat="1" ht="12.75">
      <c r="C49" s="4"/>
      <c r="D49" s="4"/>
      <c r="E49" s="4"/>
      <c r="F49" s="4"/>
      <c r="G49" s="4"/>
      <c r="H49" s="4"/>
      <c r="I49" s="4"/>
      <c r="J49" s="4"/>
      <c r="K49" s="4"/>
      <c r="L49" s="4"/>
      <c r="M49" s="328"/>
      <c r="N49" s="66"/>
    </row>
    <row r="50" spans="3:14" s="1" customFormat="1" ht="12.75">
      <c r="C50" s="4"/>
      <c r="D50" s="4"/>
      <c r="F50" s="4"/>
      <c r="G50" s="4"/>
      <c r="H50" s="4"/>
      <c r="I50" s="4"/>
      <c r="J50" s="4"/>
      <c r="K50" s="4"/>
      <c r="L50" s="4"/>
      <c r="M50" s="328"/>
      <c r="N50" s="66"/>
    </row>
    <row r="51" spans="3:14" s="1" customFormat="1" ht="12.75">
      <c r="C51" s="4"/>
      <c r="D51" s="4"/>
      <c r="F51" s="4"/>
      <c r="G51" s="4"/>
      <c r="H51" s="4"/>
      <c r="I51" s="4"/>
      <c r="J51" s="4"/>
      <c r="K51" s="4"/>
      <c r="L51" s="4"/>
      <c r="M51" s="328"/>
      <c r="N51" s="66"/>
    </row>
    <row r="52" spans="3:14" s="1" customFormat="1" ht="12.75">
      <c r="C52" s="4"/>
      <c r="D52" s="4"/>
      <c r="E52" s="4"/>
      <c r="F52" s="4"/>
      <c r="G52" s="4"/>
      <c r="H52" s="4"/>
      <c r="I52" s="4"/>
      <c r="J52" s="4"/>
      <c r="K52" s="4"/>
      <c r="L52" s="4"/>
      <c r="M52" s="328"/>
      <c r="N52" s="66"/>
    </row>
    <row r="53" spans="3:14" s="1" customFormat="1" ht="12.75">
      <c r="C53" s="4"/>
      <c r="D53" s="4"/>
      <c r="E53" s="4"/>
      <c r="F53" s="4"/>
      <c r="G53" s="4"/>
      <c r="H53" s="4"/>
      <c r="I53" s="4"/>
      <c r="J53" s="4"/>
      <c r="K53" s="4"/>
      <c r="L53" s="4"/>
      <c r="M53" s="328"/>
      <c r="N53" s="66"/>
    </row>
    <row r="54" spans="3:14" s="1" customFormat="1" ht="12.75">
      <c r="C54" s="4"/>
      <c r="D54" s="4"/>
      <c r="E54" s="4"/>
      <c r="F54" s="4"/>
      <c r="G54" s="4"/>
      <c r="H54" s="4"/>
      <c r="I54" s="4"/>
      <c r="J54" s="4"/>
      <c r="K54" s="4"/>
      <c r="L54" s="4"/>
      <c r="M54" s="328"/>
      <c r="N54" s="66"/>
    </row>
    <row r="55" spans="3:14" s="1" customFormat="1" ht="12.75">
      <c r="C55" s="4"/>
      <c r="D55" s="4"/>
      <c r="E55" s="4"/>
      <c r="F55" s="4"/>
      <c r="G55" s="4"/>
      <c r="H55" s="4"/>
      <c r="I55" s="4"/>
      <c r="J55" s="4"/>
      <c r="K55" s="4"/>
      <c r="L55" s="4"/>
      <c r="M55" s="328"/>
      <c r="N55" s="66"/>
    </row>
    <row r="56" spans="3:14" s="1" customFormat="1" ht="12.75">
      <c r="C56" s="4"/>
      <c r="D56" s="4"/>
      <c r="E56" s="4"/>
      <c r="F56" s="4"/>
      <c r="G56" s="4"/>
      <c r="H56" s="4"/>
      <c r="I56" s="4"/>
      <c r="J56" s="4"/>
      <c r="K56" s="4"/>
      <c r="L56" s="4"/>
      <c r="M56" s="328"/>
      <c r="N56" s="66"/>
    </row>
    <row r="57" spans="3:14" s="1" customFormat="1" ht="12.75">
      <c r="C57" s="4"/>
      <c r="D57" s="4"/>
      <c r="E57" s="4"/>
      <c r="F57" s="4"/>
      <c r="G57" s="4"/>
      <c r="H57" s="4"/>
      <c r="I57" s="4"/>
      <c r="J57" s="4"/>
      <c r="K57" s="4"/>
      <c r="L57" s="4"/>
      <c r="M57" s="328"/>
      <c r="N57" s="66"/>
    </row>
    <row r="58" spans="3:14" s="1" customFormat="1" ht="12.75">
      <c r="C58" s="4"/>
      <c r="D58" s="4"/>
      <c r="E58" s="4"/>
      <c r="F58" s="4"/>
      <c r="G58" s="4"/>
      <c r="H58" s="4"/>
      <c r="I58" s="4"/>
      <c r="J58" s="4"/>
      <c r="K58" s="4"/>
      <c r="L58" s="4"/>
      <c r="M58" s="328"/>
      <c r="N58" s="66"/>
    </row>
    <row r="59" spans="3:14" s="1" customFormat="1" ht="12.75">
      <c r="C59" s="4"/>
      <c r="D59" s="4"/>
      <c r="E59" s="4"/>
      <c r="F59" s="4"/>
      <c r="G59" s="4"/>
      <c r="H59" s="4"/>
      <c r="I59" s="4"/>
      <c r="J59" s="4"/>
      <c r="K59" s="4"/>
      <c r="L59" s="4"/>
      <c r="M59" s="328"/>
      <c r="N59" s="66"/>
    </row>
    <row r="60" spans="3:14" s="1" customFormat="1" ht="12.75">
      <c r="C60" s="4"/>
      <c r="D60" s="4"/>
      <c r="E60" s="4"/>
      <c r="F60" s="4"/>
      <c r="G60" s="4"/>
      <c r="H60" s="4"/>
      <c r="I60" s="4"/>
      <c r="J60" s="4"/>
      <c r="K60" s="4"/>
      <c r="L60" s="4"/>
      <c r="M60" s="328"/>
      <c r="N60" s="66"/>
    </row>
    <row r="61" spans="3:14" s="1" customFormat="1" ht="12.75">
      <c r="C61" s="4"/>
      <c r="D61" s="4"/>
      <c r="E61" s="4"/>
      <c r="F61" s="4"/>
      <c r="G61" s="4"/>
      <c r="H61" s="4"/>
      <c r="I61" s="4"/>
      <c r="J61" s="4"/>
      <c r="K61" s="4"/>
      <c r="L61" s="4"/>
      <c r="M61" s="328"/>
      <c r="N61" s="66"/>
    </row>
    <row r="62" spans="3:14" s="1" customFormat="1" ht="12.75">
      <c r="C62" s="4"/>
      <c r="D62" s="4"/>
      <c r="E62" s="4"/>
      <c r="F62" s="4"/>
      <c r="G62" s="4"/>
      <c r="H62" s="4"/>
      <c r="I62" s="4"/>
      <c r="J62" s="4"/>
      <c r="K62" s="4"/>
      <c r="L62" s="4"/>
      <c r="M62" s="328"/>
      <c r="N62" s="66"/>
    </row>
    <row r="63" spans="3:14" s="1" customFormat="1" ht="12.75">
      <c r="C63" s="4"/>
      <c r="D63" s="4"/>
      <c r="E63" s="4"/>
      <c r="F63" s="4"/>
      <c r="G63" s="4"/>
      <c r="H63" s="4"/>
      <c r="I63" s="4"/>
      <c r="J63" s="4"/>
      <c r="K63" s="4"/>
      <c r="L63" s="4"/>
      <c r="M63" s="328"/>
      <c r="N63" s="66"/>
    </row>
    <row r="64" spans="3:14" s="1" customFormat="1" ht="12.75">
      <c r="C64" s="4"/>
      <c r="D64" s="4"/>
      <c r="E64" s="4"/>
      <c r="F64" s="4"/>
      <c r="G64" s="4"/>
      <c r="H64" s="4"/>
      <c r="I64" s="4"/>
      <c r="J64" s="4"/>
      <c r="K64" s="4"/>
      <c r="L64" s="4"/>
      <c r="M64" s="328"/>
      <c r="N64" s="66"/>
    </row>
    <row r="65" spans="3:14" s="1" customFormat="1" ht="12.75">
      <c r="C65" s="4"/>
      <c r="D65" s="4"/>
      <c r="E65" s="4"/>
      <c r="F65" s="4"/>
      <c r="G65" s="4"/>
      <c r="H65" s="4"/>
      <c r="I65" s="4"/>
      <c r="J65" s="4"/>
      <c r="K65" s="4"/>
      <c r="L65" s="4"/>
      <c r="M65" s="328"/>
      <c r="N65" s="66"/>
    </row>
    <row r="66" spans="3:14" s="1" customFormat="1" ht="12.75">
      <c r="C66" s="4"/>
      <c r="D66" s="4"/>
      <c r="E66" s="4"/>
      <c r="F66" s="4"/>
      <c r="G66" s="4"/>
      <c r="H66" s="4"/>
      <c r="I66" s="4"/>
      <c r="J66" s="4"/>
      <c r="K66" s="4"/>
      <c r="L66" s="4"/>
      <c r="M66" s="328"/>
      <c r="N66" s="66"/>
    </row>
    <row r="67" spans="3:14" s="1" customFormat="1" ht="12.75">
      <c r="C67" s="4"/>
      <c r="D67" s="4"/>
      <c r="E67" s="4"/>
      <c r="F67" s="4"/>
      <c r="G67" s="4"/>
      <c r="H67" s="4"/>
      <c r="I67" s="4"/>
      <c r="J67" s="4"/>
      <c r="K67" s="4"/>
      <c r="L67" s="4"/>
      <c r="M67" s="328"/>
      <c r="N67" s="66"/>
    </row>
    <row r="68" spans="3:14" s="1" customFormat="1" ht="12.75">
      <c r="C68" s="4"/>
      <c r="D68" s="4"/>
      <c r="E68" s="4"/>
      <c r="F68" s="4"/>
      <c r="G68" s="4"/>
      <c r="H68" s="4"/>
      <c r="I68" s="4"/>
      <c r="J68" s="4"/>
      <c r="K68" s="4"/>
      <c r="L68" s="4"/>
      <c r="M68" s="328"/>
      <c r="N68" s="66"/>
    </row>
    <row r="69" spans="3:14" s="1" customFormat="1" ht="12.75">
      <c r="C69" s="4"/>
      <c r="D69" s="4"/>
      <c r="E69" s="4"/>
      <c r="F69" s="4"/>
      <c r="G69" s="4"/>
      <c r="H69" s="4"/>
      <c r="I69" s="4"/>
      <c r="J69" s="4"/>
      <c r="K69" s="4"/>
      <c r="L69" s="4"/>
      <c r="M69" s="328"/>
      <c r="N69" s="66"/>
    </row>
    <row r="70" spans="3:14" s="1" customFormat="1" ht="12.75">
      <c r="C70" s="4"/>
      <c r="D70" s="4"/>
      <c r="E70" s="4"/>
      <c r="F70" s="4"/>
      <c r="G70" s="4"/>
      <c r="H70" s="4"/>
      <c r="I70" s="4"/>
      <c r="J70" s="4"/>
      <c r="K70" s="4"/>
      <c r="L70" s="4"/>
      <c r="M70" s="328"/>
      <c r="N70" s="66"/>
    </row>
    <row r="71" spans="3:14" s="1" customFormat="1" ht="12.75">
      <c r="C71" s="4"/>
      <c r="D71" s="4"/>
      <c r="E71" s="4"/>
      <c r="F71" s="4"/>
      <c r="G71" s="4"/>
      <c r="H71" s="4"/>
      <c r="I71" s="4"/>
      <c r="J71" s="4"/>
      <c r="K71" s="4"/>
      <c r="L71" s="4"/>
      <c r="M71" s="328"/>
      <c r="N71" s="66"/>
    </row>
    <row r="72" spans="3:14" s="1" customFormat="1" ht="12.75">
      <c r="C72" s="4"/>
      <c r="D72" s="4"/>
      <c r="E72" s="4"/>
      <c r="F72" s="4"/>
      <c r="G72" s="4"/>
      <c r="H72" s="4"/>
      <c r="I72" s="4"/>
      <c r="J72" s="4"/>
      <c r="K72" s="4"/>
      <c r="L72" s="4"/>
      <c r="M72" s="328"/>
      <c r="N72" s="66"/>
    </row>
    <row r="73" spans="3:14" s="1" customFormat="1" ht="12.75">
      <c r="C73" s="4"/>
      <c r="D73" s="4"/>
      <c r="E73" s="4"/>
      <c r="F73" s="4"/>
      <c r="G73" s="4"/>
      <c r="H73" s="4"/>
      <c r="I73" s="4"/>
      <c r="J73" s="4"/>
      <c r="K73" s="4"/>
      <c r="L73" s="4"/>
      <c r="M73" s="328"/>
      <c r="N73" s="66"/>
    </row>
    <row r="74" spans="3:14" s="1" customFormat="1" ht="12.75">
      <c r="C74" s="4"/>
      <c r="D74" s="4"/>
      <c r="E74" s="4"/>
      <c r="F74" s="4"/>
      <c r="G74" s="4"/>
      <c r="H74" s="4"/>
      <c r="I74" s="4"/>
      <c r="J74" s="4"/>
      <c r="K74" s="4"/>
      <c r="L74" s="4"/>
      <c r="M74" s="328"/>
      <c r="N74" s="66"/>
    </row>
    <row r="75" spans="3:14" s="1" customFormat="1" ht="12.75">
      <c r="C75" s="4"/>
      <c r="D75" s="4"/>
      <c r="E75" s="4"/>
      <c r="F75" s="4"/>
      <c r="G75" s="4"/>
      <c r="H75" s="4"/>
      <c r="I75" s="4"/>
      <c r="J75" s="4"/>
      <c r="K75" s="4"/>
      <c r="L75" s="4"/>
      <c r="M75" s="328"/>
      <c r="N75" s="66"/>
    </row>
    <row r="76" spans="3:14" s="1" customFormat="1" ht="12.75">
      <c r="C76" s="4"/>
      <c r="D76" s="4"/>
      <c r="E76" s="4"/>
      <c r="F76" s="4"/>
      <c r="G76" s="4"/>
      <c r="H76" s="4"/>
      <c r="I76" s="4"/>
      <c r="J76" s="4"/>
      <c r="K76" s="4"/>
      <c r="L76" s="4"/>
      <c r="M76" s="328"/>
      <c r="N76" s="66"/>
    </row>
    <row r="77" spans="3:14" s="1" customFormat="1" ht="12.75">
      <c r="C77" s="4"/>
      <c r="D77" s="4"/>
      <c r="E77" s="4"/>
      <c r="F77" s="4"/>
      <c r="G77" s="4"/>
      <c r="H77" s="4"/>
      <c r="I77" s="4"/>
      <c r="J77" s="4"/>
      <c r="K77" s="4"/>
      <c r="L77" s="4"/>
      <c r="M77" s="328"/>
      <c r="N77" s="66"/>
    </row>
    <row r="78" spans="3:14" s="1" customFormat="1" ht="12.75">
      <c r="C78" s="4"/>
      <c r="D78" s="4"/>
      <c r="E78" s="4"/>
      <c r="F78" s="4"/>
      <c r="G78" s="4"/>
      <c r="H78" s="4"/>
      <c r="I78" s="4"/>
      <c r="J78" s="4"/>
      <c r="K78" s="4"/>
      <c r="L78" s="4"/>
      <c r="M78" s="328"/>
      <c r="N78" s="66"/>
    </row>
    <row r="79" spans="3:14" s="1" customFormat="1" ht="12.75">
      <c r="C79" s="4"/>
      <c r="D79" s="4"/>
      <c r="E79" s="4"/>
      <c r="F79" s="4"/>
      <c r="G79" s="4"/>
      <c r="H79" s="4"/>
      <c r="I79" s="4"/>
      <c r="J79" s="4"/>
      <c r="K79" s="4"/>
      <c r="L79" s="4"/>
      <c r="M79" s="328"/>
      <c r="N79" s="66"/>
    </row>
    <row r="80" spans="3:14" s="1" customFormat="1" ht="12.75">
      <c r="C80" s="4"/>
      <c r="D80" s="4"/>
      <c r="E80" s="4"/>
      <c r="F80" s="4"/>
      <c r="G80" s="4"/>
      <c r="H80" s="4"/>
      <c r="I80" s="4"/>
      <c r="J80" s="4"/>
      <c r="K80" s="4"/>
      <c r="L80" s="4"/>
      <c r="M80" s="328"/>
      <c r="N80" s="66"/>
    </row>
    <row r="81" spans="3:14" s="1" customFormat="1" ht="12.75">
      <c r="C81" s="4"/>
      <c r="D81" s="4"/>
      <c r="E81" s="4"/>
      <c r="F81" s="4"/>
      <c r="G81" s="4"/>
      <c r="H81" s="4"/>
      <c r="I81" s="4"/>
      <c r="J81" s="4"/>
      <c r="K81" s="4"/>
      <c r="L81" s="4"/>
      <c r="M81" s="328"/>
      <c r="N81" s="66"/>
    </row>
    <row r="82" spans="3:14" s="1" customFormat="1" ht="12.75">
      <c r="C82" s="4"/>
      <c r="D82" s="4"/>
      <c r="E82" s="4"/>
      <c r="F82" s="4"/>
      <c r="G82" s="4"/>
      <c r="H82" s="4"/>
      <c r="I82" s="4"/>
      <c r="J82" s="4"/>
      <c r="K82" s="4"/>
      <c r="L82" s="4"/>
      <c r="M82" s="328"/>
      <c r="N82" s="66"/>
    </row>
    <row r="83" spans="3:14" s="1" customFormat="1" ht="12.75">
      <c r="C83" s="4"/>
      <c r="D83" s="4"/>
      <c r="E83" s="4"/>
      <c r="F83" s="4"/>
      <c r="G83" s="4"/>
      <c r="H83" s="4"/>
      <c r="I83" s="4"/>
      <c r="J83" s="4"/>
      <c r="K83" s="4"/>
      <c r="L83" s="4"/>
      <c r="M83" s="328"/>
      <c r="N83" s="66"/>
    </row>
    <row r="84" spans="3:14" s="1" customFormat="1" ht="12.75">
      <c r="C84" s="4"/>
      <c r="D84" s="4"/>
      <c r="E84" s="4"/>
      <c r="F84" s="4"/>
      <c r="G84" s="4"/>
      <c r="H84" s="4"/>
      <c r="I84" s="4"/>
      <c r="J84" s="4"/>
      <c r="K84" s="4"/>
      <c r="L84" s="4"/>
      <c r="M84" s="328"/>
      <c r="N84" s="66"/>
    </row>
    <row r="85" spans="3:14" s="1" customFormat="1" ht="12.75">
      <c r="C85" s="4"/>
      <c r="D85" s="4"/>
      <c r="E85" s="4"/>
      <c r="F85" s="4"/>
      <c r="G85" s="4"/>
      <c r="H85" s="4"/>
      <c r="I85" s="4"/>
      <c r="J85" s="4"/>
      <c r="K85" s="4"/>
      <c r="L85" s="4"/>
      <c r="M85" s="328"/>
      <c r="N85" s="66"/>
    </row>
    <row r="86" spans="3:14" s="1" customFormat="1" ht="12.75">
      <c r="C86" s="4"/>
      <c r="D86" s="4"/>
      <c r="E86" s="4"/>
      <c r="F86" s="4"/>
      <c r="G86" s="4"/>
      <c r="H86" s="4"/>
      <c r="I86" s="4"/>
      <c r="J86" s="4"/>
      <c r="K86" s="4"/>
      <c r="L86" s="4"/>
      <c r="M86" s="328"/>
      <c r="N86" s="66"/>
    </row>
    <row r="87" spans="3:14" s="1" customFormat="1" ht="12.75">
      <c r="C87" s="4"/>
      <c r="D87" s="4"/>
      <c r="E87" s="4"/>
      <c r="F87" s="4"/>
      <c r="G87" s="4"/>
      <c r="H87" s="4"/>
      <c r="I87" s="4"/>
      <c r="J87" s="4"/>
      <c r="K87" s="4"/>
      <c r="L87" s="4"/>
      <c r="M87" s="328"/>
      <c r="N87" s="66"/>
    </row>
    <row r="88" spans="3:14" s="1" customFormat="1" ht="12.75">
      <c r="C88" s="4"/>
      <c r="D88" s="4"/>
      <c r="E88" s="4"/>
      <c r="F88" s="4"/>
      <c r="G88" s="4"/>
      <c r="H88" s="4"/>
      <c r="I88" s="4"/>
      <c r="J88" s="4"/>
      <c r="K88" s="4"/>
      <c r="L88" s="4"/>
      <c r="M88" s="328"/>
      <c r="N88" s="66"/>
    </row>
    <row r="89" spans="3:14" s="1" customFormat="1" ht="12.75">
      <c r="C89" s="4"/>
      <c r="D89" s="4"/>
      <c r="E89" s="4"/>
      <c r="F89" s="4"/>
      <c r="G89" s="4"/>
      <c r="H89" s="4"/>
      <c r="I89" s="4"/>
      <c r="J89" s="4"/>
      <c r="K89" s="4"/>
      <c r="L89" s="4"/>
      <c r="M89" s="328"/>
      <c r="N89" s="66"/>
    </row>
    <row r="90" spans="3:14" s="1" customFormat="1" ht="12.75">
      <c r="C90" s="4"/>
      <c r="D90" s="4"/>
      <c r="E90" s="4"/>
      <c r="F90" s="4"/>
      <c r="G90" s="4"/>
      <c r="H90" s="4"/>
      <c r="I90" s="4"/>
      <c r="J90" s="4"/>
      <c r="K90" s="4"/>
      <c r="L90" s="4"/>
      <c r="M90" s="328"/>
      <c r="N90" s="66"/>
    </row>
    <row r="91" spans="3:14" s="1" customFormat="1" ht="12.75">
      <c r="C91" s="4"/>
      <c r="D91" s="4"/>
      <c r="E91" s="4"/>
      <c r="F91" s="4"/>
      <c r="G91" s="4"/>
      <c r="H91" s="4"/>
      <c r="I91" s="4"/>
      <c r="J91" s="4"/>
      <c r="K91" s="4"/>
      <c r="L91" s="4"/>
      <c r="M91" s="328"/>
      <c r="N91" s="66"/>
    </row>
    <row r="92" spans="3:14" s="1" customFormat="1" ht="12.75">
      <c r="C92" s="4"/>
      <c r="D92" s="4"/>
      <c r="E92" s="4"/>
      <c r="F92" s="4"/>
      <c r="G92" s="4"/>
      <c r="H92" s="4"/>
      <c r="I92" s="4"/>
      <c r="J92" s="4"/>
      <c r="K92" s="4"/>
      <c r="L92" s="4"/>
      <c r="M92" s="328"/>
      <c r="N92" s="66"/>
    </row>
    <row r="93" spans="3:14" s="1" customFormat="1" ht="12.75">
      <c r="C93" s="4"/>
      <c r="D93" s="4"/>
      <c r="E93" s="4"/>
      <c r="F93" s="4"/>
      <c r="G93" s="4"/>
      <c r="H93" s="4"/>
      <c r="I93" s="4"/>
      <c r="J93" s="4"/>
      <c r="K93" s="4"/>
      <c r="L93" s="4"/>
      <c r="M93" s="328"/>
      <c r="N93" s="66"/>
    </row>
    <row r="94" spans="3:14" s="1" customFormat="1" ht="12.75">
      <c r="C94" s="4"/>
      <c r="D94" s="4"/>
      <c r="E94" s="4"/>
      <c r="F94" s="4"/>
      <c r="G94" s="4"/>
      <c r="H94" s="4"/>
      <c r="I94" s="4"/>
      <c r="J94" s="4"/>
      <c r="K94" s="4"/>
      <c r="L94" s="4"/>
      <c r="M94" s="328"/>
      <c r="N94" s="66"/>
    </row>
    <row r="95" spans="3:14" s="1" customFormat="1" ht="12.75">
      <c r="C95" s="4"/>
      <c r="D95" s="4"/>
      <c r="E95" s="4"/>
      <c r="F95" s="4"/>
      <c r="G95" s="4"/>
      <c r="H95" s="4"/>
      <c r="I95" s="4"/>
      <c r="J95" s="4"/>
      <c r="K95" s="4"/>
      <c r="L95" s="4"/>
      <c r="M95" s="328"/>
      <c r="N95" s="66"/>
    </row>
    <row r="96" spans="3:14" s="1" customFormat="1" ht="12.75">
      <c r="C96" s="4"/>
      <c r="D96" s="4"/>
      <c r="E96" s="4"/>
      <c r="F96" s="4"/>
      <c r="G96" s="4"/>
      <c r="H96" s="4"/>
      <c r="I96" s="4"/>
      <c r="J96" s="4"/>
      <c r="K96" s="4"/>
      <c r="L96" s="4"/>
      <c r="M96" s="328"/>
      <c r="N96" s="66"/>
    </row>
    <row r="97" spans="3:14" s="1" customFormat="1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328"/>
      <c r="N97" s="66"/>
    </row>
    <row r="98" spans="3:14" s="1" customFormat="1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328"/>
      <c r="N98" s="66"/>
    </row>
    <row r="99" spans="3:14" s="1" customFormat="1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328"/>
      <c r="N99" s="66"/>
    </row>
    <row r="100" spans="3:14" s="1" customFormat="1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328"/>
      <c r="N100" s="66"/>
    </row>
    <row r="101" spans="3:14" s="1" customFormat="1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328"/>
      <c r="N101" s="66"/>
    </row>
    <row r="102" spans="3:14" s="1" customFormat="1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328"/>
      <c r="N102" s="66"/>
    </row>
    <row r="103" spans="3:14" s="1" customFormat="1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328"/>
      <c r="N103" s="66"/>
    </row>
    <row r="104" spans="3:14" s="1" customFormat="1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328"/>
      <c r="N104" s="66"/>
    </row>
    <row r="105" spans="3:14" s="1" customFormat="1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328"/>
      <c r="N105" s="66"/>
    </row>
    <row r="106" spans="3:14" s="1" customFormat="1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328"/>
      <c r="N106" s="66"/>
    </row>
    <row r="107" spans="3:14" s="1" customFormat="1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328"/>
      <c r="N107" s="66"/>
    </row>
    <row r="108" spans="3:14" s="1" customFormat="1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328"/>
      <c r="N108" s="66"/>
    </row>
    <row r="109" spans="3:14" s="1" customFormat="1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328"/>
      <c r="N109" s="66"/>
    </row>
    <row r="110" spans="3:14" s="1" customFormat="1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328"/>
      <c r="N110" s="66"/>
    </row>
    <row r="111" spans="3:14" s="1" customFormat="1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328"/>
      <c r="N111" s="66"/>
    </row>
    <row r="112" spans="3:14" s="1" customFormat="1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328"/>
      <c r="N112" s="66"/>
    </row>
    <row r="113" spans="3:14" s="1" customFormat="1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328"/>
      <c r="N113" s="66"/>
    </row>
    <row r="114" spans="3:14" s="1" customFormat="1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328"/>
      <c r="N114" s="66"/>
    </row>
    <row r="115" spans="3:14" s="1" customFormat="1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328"/>
      <c r="N115" s="66"/>
    </row>
    <row r="116" spans="3:14" s="1" customFormat="1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328"/>
      <c r="N116" s="66"/>
    </row>
    <row r="117" spans="3:14" s="1" customFormat="1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328"/>
      <c r="N117" s="66"/>
    </row>
    <row r="118" spans="3:14" s="1" customFormat="1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328"/>
      <c r="N118" s="66"/>
    </row>
    <row r="119" spans="3:14" s="1" customFormat="1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328"/>
      <c r="N119" s="66"/>
    </row>
    <row r="120" spans="3:14" s="1" customFormat="1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328"/>
      <c r="N120" s="66"/>
    </row>
    <row r="121" spans="3:14" s="1" customFormat="1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328"/>
      <c r="N121" s="66"/>
    </row>
    <row r="122" spans="3:14" s="1" customFormat="1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328"/>
      <c r="N122" s="66"/>
    </row>
    <row r="123" spans="3:14" s="1" customFormat="1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328"/>
      <c r="N123" s="66"/>
    </row>
    <row r="124" spans="3:14" s="1" customFormat="1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328"/>
      <c r="N124" s="66"/>
    </row>
    <row r="125" spans="3:14" s="1" customFormat="1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328"/>
      <c r="N125" s="66"/>
    </row>
    <row r="126" spans="3:14" s="1" customFormat="1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328"/>
      <c r="N126" s="66"/>
    </row>
    <row r="127" spans="3:14" s="1" customFormat="1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328"/>
      <c r="N127" s="66"/>
    </row>
    <row r="128" spans="3:14" s="1" customFormat="1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328"/>
      <c r="N128" s="66"/>
    </row>
    <row r="129" spans="3:14" s="1" customFormat="1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328"/>
      <c r="N129" s="66"/>
    </row>
    <row r="130" spans="3:14" s="1" customFormat="1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328"/>
      <c r="N130" s="66"/>
    </row>
    <row r="131" spans="3:14" s="1" customFormat="1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328"/>
      <c r="N131" s="66"/>
    </row>
    <row r="132" spans="3:14" s="1" customFormat="1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328"/>
      <c r="N132" s="66"/>
    </row>
    <row r="133" spans="3:14" s="1" customFormat="1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328"/>
      <c r="N133" s="66"/>
    </row>
    <row r="134" spans="3:14" s="1" customFormat="1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328"/>
      <c r="N134" s="66"/>
    </row>
    <row r="135" spans="3:14" s="1" customFormat="1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328"/>
      <c r="N135" s="66"/>
    </row>
    <row r="136" spans="3:14" s="1" customFormat="1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328"/>
      <c r="N136" s="66"/>
    </row>
    <row r="137" spans="3:14" s="1" customFormat="1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328"/>
      <c r="N137" s="66"/>
    </row>
    <row r="138" spans="3:14" s="1" customFormat="1" ht="12.7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328"/>
      <c r="N138" s="66"/>
    </row>
    <row r="139" spans="3:14" s="1" customFormat="1" ht="12.7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328"/>
      <c r="N139" s="66"/>
    </row>
    <row r="140" spans="3:14" s="1" customFormat="1" ht="12.7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328"/>
      <c r="N140" s="66"/>
    </row>
    <row r="141" spans="3:14" s="1" customFormat="1" ht="12.7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328"/>
      <c r="N141" s="66"/>
    </row>
    <row r="142" spans="3:14" s="1" customFormat="1" ht="12.7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328"/>
      <c r="N142" s="66"/>
    </row>
    <row r="143" spans="3:14" s="1" customFormat="1" ht="12.7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328"/>
      <c r="N143" s="66"/>
    </row>
    <row r="144" spans="3:14" s="1" customFormat="1" ht="12.7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328"/>
      <c r="N144" s="66"/>
    </row>
    <row r="145" spans="3:14" s="1" customFormat="1" ht="12.7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328"/>
      <c r="N145" s="66"/>
    </row>
    <row r="146" spans="3:14" s="1" customFormat="1" ht="12.7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328"/>
      <c r="N146" s="66"/>
    </row>
    <row r="147" spans="3:14" s="1" customFormat="1" ht="12.7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328"/>
      <c r="N147" s="66"/>
    </row>
    <row r="148" spans="3:14" s="1" customFormat="1" ht="12.7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328"/>
      <c r="N148" s="66"/>
    </row>
    <row r="149" spans="3:14" s="1" customFormat="1" ht="12.7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328"/>
      <c r="N149" s="66"/>
    </row>
    <row r="150" spans="3:14" s="1" customFormat="1" ht="12.7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328"/>
      <c r="N150" s="66"/>
    </row>
    <row r="151" spans="3:14" s="1" customFormat="1" ht="12.7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328"/>
      <c r="N151" s="66"/>
    </row>
  </sheetData>
  <sheetProtection/>
  <mergeCells count="21">
    <mergeCell ref="F41:G41"/>
    <mergeCell ref="H41:I41"/>
    <mergeCell ref="J41:K41"/>
    <mergeCell ref="A1:M1"/>
    <mergeCell ref="C5:D5"/>
    <mergeCell ref="F40:G40"/>
    <mergeCell ref="H40:I40"/>
    <mergeCell ref="J40:K40"/>
    <mergeCell ref="F37:K37"/>
    <mergeCell ref="F42:G42"/>
    <mergeCell ref="H42:I42"/>
    <mergeCell ref="J42:K42"/>
    <mergeCell ref="F43:G43"/>
    <mergeCell ref="H43:I43"/>
    <mergeCell ref="J43:K43"/>
    <mergeCell ref="F45:G45"/>
    <mergeCell ref="H45:I45"/>
    <mergeCell ref="J45:K45"/>
    <mergeCell ref="F44:G44"/>
    <mergeCell ref="H44:I44"/>
    <mergeCell ref="J44:K44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0" r:id="rId1"/>
  <ignoredErrors>
    <ignoredError sqref="L11:L19 L44" emptyCellReference="1"/>
    <ignoredError sqref="N29:N34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Z204"/>
  <sheetViews>
    <sheetView tabSelected="1" zoomScale="65" zoomScaleNormal="65" zoomScalePageLayoutView="0" workbookViewId="0" topLeftCell="A1">
      <pane xSplit="1" ySplit="4" topLeftCell="B5" activePane="bottomRight" state="frozen"/>
      <selection pane="topLeft" activeCell="N41" sqref="N41"/>
      <selection pane="topRight" activeCell="N41" sqref="N41"/>
      <selection pane="bottomLeft" activeCell="N41" sqref="N41"/>
      <selection pane="bottomRight" activeCell="A11" sqref="A11"/>
    </sheetView>
  </sheetViews>
  <sheetFormatPr defaultColWidth="9.140625" defaultRowHeight="12.75"/>
  <cols>
    <col min="1" max="1" width="19.140625" style="23" customWidth="1"/>
    <col min="2" max="2" width="9.00390625" style="3" customWidth="1"/>
    <col min="3" max="3" width="12.57421875" style="70" customWidth="1"/>
    <col min="4" max="4" width="17.421875" style="3" bestFit="1" customWidth="1"/>
    <col min="5" max="5" width="9.421875" style="3" bestFit="1" customWidth="1"/>
    <col min="6" max="12" width="9.28125" style="3" customWidth="1"/>
    <col min="13" max="13" width="9.28125" style="14" customWidth="1"/>
    <col min="14" max="15" width="9.28125" style="3" customWidth="1"/>
    <col min="16" max="16" width="9.28125" style="45" customWidth="1"/>
    <col min="17" max="17" width="9.28125" style="50" customWidth="1"/>
    <col min="18" max="18" width="9.28125" style="3" customWidth="1"/>
    <col min="19" max="19" width="9.28125" style="35" customWidth="1"/>
    <col min="20" max="21" width="9.28125" style="3" customWidth="1"/>
    <col min="22" max="22" width="12.140625" style="0" customWidth="1"/>
    <col min="23" max="23" width="15.140625" style="0" customWidth="1"/>
    <col min="24" max="24" width="13.28125" style="0" customWidth="1"/>
    <col min="26" max="26" width="13.28125" style="0" bestFit="1" customWidth="1"/>
  </cols>
  <sheetData>
    <row r="1" spans="1:21" s="54" customFormat="1" ht="26.25">
      <c r="A1" s="511" t="s">
        <v>339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3"/>
    </row>
    <row r="2" spans="1:21" s="103" customFormat="1" ht="12.75">
      <c r="A2" s="81"/>
      <c r="B2" s="14"/>
      <c r="C2" s="7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51"/>
      <c r="Q2" s="46"/>
      <c r="R2" s="14"/>
      <c r="S2" s="36"/>
      <c r="T2" s="14"/>
      <c r="U2" s="14"/>
    </row>
    <row r="3" spans="1:21" s="54" customFormat="1" ht="13.5" thickBot="1">
      <c r="A3" s="371" t="s">
        <v>106</v>
      </c>
      <c r="B3" s="344"/>
      <c r="C3" s="372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46"/>
      <c r="R3" s="51"/>
      <c r="S3" s="52"/>
      <c r="T3" s="51"/>
      <c r="U3" s="51"/>
    </row>
    <row r="4" spans="1:24" s="319" customFormat="1" ht="39.75" customHeight="1" thickBot="1">
      <c r="A4" s="82" t="s">
        <v>9</v>
      </c>
      <c r="B4" s="146" t="s">
        <v>5</v>
      </c>
      <c r="C4" s="432" t="s">
        <v>6</v>
      </c>
      <c r="D4" s="147" t="s">
        <v>64</v>
      </c>
      <c r="E4" s="148" t="s">
        <v>115</v>
      </c>
      <c r="F4" s="337" t="s">
        <v>116</v>
      </c>
      <c r="G4" s="149" t="s">
        <v>126</v>
      </c>
      <c r="H4" s="149" t="s">
        <v>117</v>
      </c>
      <c r="I4" s="149" t="s">
        <v>118</v>
      </c>
      <c r="J4" s="345" t="s">
        <v>400</v>
      </c>
      <c r="K4" s="346" t="s">
        <v>119</v>
      </c>
      <c r="L4" s="347" t="s">
        <v>120</v>
      </c>
      <c r="M4" s="221" t="s">
        <v>121</v>
      </c>
      <c r="N4" s="348" t="s">
        <v>122</v>
      </c>
      <c r="O4" s="349" t="s">
        <v>123</v>
      </c>
      <c r="P4" s="349" t="s">
        <v>124</v>
      </c>
      <c r="Q4" s="189" t="s">
        <v>125</v>
      </c>
      <c r="R4" s="190" t="s">
        <v>65</v>
      </c>
      <c r="S4" s="190" t="s">
        <v>66</v>
      </c>
      <c r="T4" s="150" t="s">
        <v>67</v>
      </c>
      <c r="U4" s="221" t="s">
        <v>69</v>
      </c>
      <c r="W4" s="321" t="s">
        <v>109</v>
      </c>
      <c r="X4" s="321" t="s">
        <v>110</v>
      </c>
    </row>
    <row r="5" spans="1:24" s="153" customFormat="1" ht="12.75">
      <c r="A5" s="462" t="s">
        <v>61</v>
      </c>
      <c r="B5" s="475">
        <v>1958</v>
      </c>
      <c r="C5" s="182" t="s">
        <v>135</v>
      </c>
      <c r="D5" s="482" t="s">
        <v>60</v>
      </c>
      <c r="E5" s="458">
        <v>0</v>
      </c>
      <c r="F5" s="458">
        <v>362</v>
      </c>
      <c r="G5" s="193">
        <v>0</v>
      </c>
      <c r="H5" s="184">
        <v>362</v>
      </c>
      <c r="I5" s="184">
        <v>0</v>
      </c>
      <c r="J5" s="184">
        <v>0</v>
      </c>
      <c r="K5" s="184">
        <v>370</v>
      </c>
      <c r="L5" s="184">
        <v>365</v>
      </c>
      <c r="M5" s="184">
        <v>0</v>
      </c>
      <c r="N5" s="184">
        <v>0</v>
      </c>
      <c r="O5" s="184">
        <v>364</v>
      </c>
      <c r="P5" s="184">
        <v>0</v>
      </c>
      <c r="Q5" s="357">
        <v>370</v>
      </c>
      <c r="R5" s="464">
        <f aca="true" t="shared" si="0" ref="R5:R17">MAX(E5:P5)+LARGE(E5:P5,2)+LARGE(E5:P5,3)+LARGE(E5:P5,4)+LARGE(E5:P5,5)+Q5</f>
        <v>2193</v>
      </c>
      <c r="S5" s="496">
        <f aca="true" t="shared" si="1" ref="S5:S24">RANK(R5,R$5:R$25)</f>
        <v>1</v>
      </c>
      <c r="T5" s="465">
        <f aca="true" t="shared" si="2" ref="T5:T24">SUM(E5:Q5)</f>
        <v>2193</v>
      </c>
      <c r="U5" s="466">
        <f aca="true" t="shared" si="3" ref="U5:U24">T5/(40*W5)</f>
        <v>9.1375</v>
      </c>
      <c r="V5" s="320"/>
      <c r="W5" s="322">
        <f aca="true" t="shared" si="4" ref="W5:W24">COUNTIF(E5:Q5,"&gt;0")</f>
        <v>6</v>
      </c>
      <c r="X5" s="167" t="e">
        <f>R4-R5</f>
        <v>#VALUE!</v>
      </c>
    </row>
    <row r="6" spans="1:24" s="159" customFormat="1" ht="12" customHeight="1">
      <c r="A6" s="381" t="s">
        <v>156</v>
      </c>
      <c r="B6" s="476">
        <v>1990</v>
      </c>
      <c r="C6" s="491" t="s">
        <v>417</v>
      </c>
      <c r="D6" s="483" t="s">
        <v>53</v>
      </c>
      <c r="E6" s="184">
        <v>0</v>
      </c>
      <c r="F6" s="184">
        <v>310</v>
      </c>
      <c r="G6" s="193">
        <v>337</v>
      </c>
      <c r="H6" s="184">
        <v>341</v>
      </c>
      <c r="I6" s="184">
        <v>342</v>
      </c>
      <c r="J6" s="184">
        <v>334</v>
      </c>
      <c r="K6" s="184">
        <v>341</v>
      </c>
      <c r="L6" s="184">
        <v>341</v>
      </c>
      <c r="M6" s="184">
        <v>349</v>
      </c>
      <c r="N6" s="184">
        <v>0</v>
      </c>
      <c r="O6" s="184">
        <v>354</v>
      </c>
      <c r="P6" s="184">
        <v>0</v>
      </c>
      <c r="Q6" s="357">
        <v>354</v>
      </c>
      <c r="R6" s="336">
        <f t="shared" si="0"/>
        <v>2081</v>
      </c>
      <c r="S6" s="156">
        <f t="shared" si="1"/>
        <v>2</v>
      </c>
      <c r="T6" s="157">
        <f t="shared" si="2"/>
        <v>3403</v>
      </c>
      <c r="U6" s="158">
        <f t="shared" si="3"/>
        <v>8.5075</v>
      </c>
      <c r="V6" s="137"/>
      <c r="W6" s="55">
        <f t="shared" si="4"/>
        <v>10</v>
      </c>
      <c r="X6" s="167">
        <f aca="true" t="shared" si="5" ref="X6:X24">R5-R6</f>
        <v>112</v>
      </c>
    </row>
    <row r="7" spans="1:24" s="159" customFormat="1" ht="14.25">
      <c r="A7" s="418" t="s">
        <v>159</v>
      </c>
      <c r="B7" s="477">
        <v>1992</v>
      </c>
      <c r="C7" s="492">
        <v>37964</v>
      </c>
      <c r="D7" s="484" t="s">
        <v>314</v>
      </c>
      <c r="E7" s="184">
        <v>333</v>
      </c>
      <c r="F7" s="184">
        <v>336</v>
      </c>
      <c r="G7" s="193">
        <v>0</v>
      </c>
      <c r="H7" s="184">
        <v>0</v>
      </c>
      <c r="I7" s="184">
        <v>0</v>
      </c>
      <c r="J7" s="184">
        <v>0</v>
      </c>
      <c r="K7" s="184">
        <v>337</v>
      </c>
      <c r="L7" s="184">
        <v>332</v>
      </c>
      <c r="M7" s="184">
        <v>0</v>
      </c>
      <c r="N7" s="184">
        <v>0</v>
      </c>
      <c r="O7" s="184">
        <v>347</v>
      </c>
      <c r="P7" s="184">
        <v>0</v>
      </c>
      <c r="Q7" s="357">
        <v>337</v>
      </c>
      <c r="R7" s="336">
        <f t="shared" si="0"/>
        <v>2022</v>
      </c>
      <c r="S7" s="156">
        <f t="shared" si="1"/>
        <v>3</v>
      </c>
      <c r="T7" s="157">
        <f t="shared" si="2"/>
        <v>2022</v>
      </c>
      <c r="U7" s="158">
        <f t="shared" si="3"/>
        <v>8.425</v>
      </c>
      <c r="V7" s="137"/>
      <c r="W7" s="55">
        <f>COUNTIF(E7:Q7,"&gt;0")</f>
        <v>6</v>
      </c>
      <c r="X7" s="167">
        <f t="shared" si="5"/>
        <v>59</v>
      </c>
    </row>
    <row r="8" spans="1:24" s="159" customFormat="1" ht="12.75">
      <c r="A8" s="381" t="s">
        <v>259</v>
      </c>
      <c r="B8" s="478">
        <v>1994</v>
      </c>
      <c r="C8" s="492" t="s">
        <v>279</v>
      </c>
      <c r="D8" s="485" t="s">
        <v>272</v>
      </c>
      <c r="E8" s="184">
        <v>301</v>
      </c>
      <c r="F8" s="184">
        <v>326</v>
      </c>
      <c r="G8" s="193">
        <v>309</v>
      </c>
      <c r="H8" s="184">
        <v>313</v>
      </c>
      <c r="I8" s="184">
        <v>308</v>
      </c>
      <c r="J8" s="184">
        <v>321</v>
      </c>
      <c r="K8" s="184">
        <v>312</v>
      </c>
      <c r="L8" s="184">
        <v>315</v>
      </c>
      <c r="M8" s="184">
        <v>333</v>
      </c>
      <c r="N8" s="184">
        <v>0</v>
      </c>
      <c r="O8" s="184">
        <v>323</v>
      </c>
      <c r="P8" s="184">
        <v>0</v>
      </c>
      <c r="Q8" s="357">
        <v>298</v>
      </c>
      <c r="R8" s="336">
        <f t="shared" si="0"/>
        <v>1916</v>
      </c>
      <c r="S8" s="156">
        <f t="shared" si="1"/>
        <v>4</v>
      </c>
      <c r="T8" s="157">
        <f t="shared" si="2"/>
        <v>3459</v>
      </c>
      <c r="U8" s="158">
        <f t="shared" si="3"/>
        <v>7.861363636363636</v>
      </c>
      <c r="V8" s="137"/>
      <c r="W8" s="55">
        <f t="shared" si="4"/>
        <v>11</v>
      </c>
      <c r="X8" s="167">
        <f t="shared" si="5"/>
        <v>106</v>
      </c>
    </row>
    <row r="9" spans="1:24" s="159" customFormat="1" ht="12.75">
      <c r="A9" s="418" t="s">
        <v>388</v>
      </c>
      <c r="B9" s="478">
        <v>1996</v>
      </c>
      <c r="C9" s="492">
        <v>37862</v>
      </c>
      <c r="D9" s="483" t="s">
        <v>349</v>
      </c>
      <c r="E9" s="184">
        <v>0</v>
      </c>
      <c r="F9" s="184">
        <v>326</v>
      </c>
      <c r="G9" s="193">
        <v>330</v>
      </c>
      <c r="H9" s="184">
        <v>328</v>
      </c>
      <c r="I9" s="184">
        <v>0</v>
      </c>
      <c r="J9" s="184">
        <v>0</v>
      </c>
      <c r="K9" s="184">
        <v>300</v>
      </c>
      <c r="L9" s="184">
        <v>306</v>
      </c>
      <c r="M9" s="184">
        <v>0</v>
      </c>
      <c r="N9" s="184">
        <v>0</v>
      </c>
      <c r="O9" s="184">
        <v>0</v>
      </c>
      <c r="P9" s="184">
        <v>0</v>
      </c>
      <c r="Q9" s="357">
        <v>0</v>
      </c>
      <c r="R9" s="336">
        <f t="shared" si="0"/>
        <v>1590</v>
      </c>
      <c r="S9" s="156">
        <f t="shared" si="1"/>
        <v>5</v>
      </c>
      <c r="T9" s="157">
        <f t="shared" si="2"/>
        <v>1590</v>
      </c>
      <c r="U9" s="158">
        <f t="shared" si="3"/>
        <v>7.95</v>
      </c>
      <c r="V9" s="137"/>
      <c r="W9" s="55">
        <f>COUNTIF(E9:Q9,"&gt;0")</f>
        <v>5</v>
      </c>
      <c r="X9" s="167">
        <f t="shared" si="5"/>
        <v>326</v>
      </c>
    </row>
    <row r="10" spans="1:24" s="159" customFormat="1" ht="12.75">
      <c r="A10" s="418" t="s">
        <v>179</v>
      </c>
      <c r="B10" s="478">
        <v>1984</v>
      </c>
      <c r="C10" s="492">
        <v>38394</v>
      </c>
      <c r="D10" s="485" t="s">
        <v>97</v>
      </c>
      <c r="E10" s="184">
        <v>0</v>
      </c>
      <c r="F10" s="184">
        <v>0</v>
      </c>
      <c r="G10" s="193">
        <v>362</v>
      </c>
      <c r="H10" s="184">
        <v>0</v>
      </c>
      <c r="I10" s="184">
        <v>0</v>
      </c>
      <c r="J10" s="184">
        <v>0</v>
      </c>
      <c r="K10" s="184">
        <v>342</v>
      </c>
      <c r="L10" s="184">
        <v>0</v>
      </c>
      <c r="M10" s="184">
        <v>0</v>
      </c>
      <c r="N10" s="184">
        <v>0</v>
      </c>
      <c r="O10" s="184">
        <v>345</v>
      </c>
      <c r="P10" s="184">
        <v>0</v>
      </c>
      <c r="Q10" s="357">
        <v>349</v>
      </c>
      <c r="R10" s="336">
        <f t="shared" si="0"/>
        <v>1398</v>
      </c>
      <c r="S10" s="156">
        <f t="shared" si="1"/>
        <v>6</v>
      </c>
      <c r="T10" s="157">
        <f t="shared" si="2"/>
        <v>1398</v>
      </c>
      <c r="U10" s="158">
        <f t="shared" si="3"/>
        <v>8.7375</v>
      </c>
      <c r="V10" s="137"/>
      <c r="W10" s="55">
        <f>COUNTIF(E10:Q10,"&gt;0")</f>
        <v>4</v>
      </c>
      <c r="X10" s="167">
        <f t="shared" si="5"/>
        <v>192</v>
      </c>
    </row>
    <row r="11" spans="1:24" s="159" customFormat="1" ht="12.75">
      <c r="A11" s="200" t="s">
        <v>422</v>
      </c>
      <c r="B11" s="479">
        <v>1994</v>
      </c>
      <c r="C11" s="493" t="s">
        <v>423</v>
      </c>
      <c r="D11" s="486" t="s">
        <v>349</v>
      </c>
      <c r="E11" s="184">
        <v>0</v>
      </c>
      <c r="F11" s="184">
        <v>0</v>
      </c>
      <c r="G11" s="193">
        <v>293</v>
      </c>
      <c r="H11" s="184">
        <v>274</v>
      </c>
      <c r="I11" s="184">
        <v>0</v>
      </c>
      <c r="J11" s="184">
        <v>0</v>
      </c>
      <c r="K11" s="184">
        <v>293</v>
      </c>
      <c r="L11" s="184">
        <v>317</v>
      </c>
      <c r="M11" s="184">
        <v>0</v>
      </c>
      <c r="N11" s="184">
        <v>0</v>
      </c>
      <c r="O11" s="184">
        <v>0</v>
      </c>
      <c r="P11" s="184">
        <v>0</v>
      </c>
      <c r="Q11" s="357">
        <v>0</v>
      </c>
      <c r="R11" s="336">
        <f t="shared" si="0"/>
        <v>1177</v>
      </c>
      <c r="S11" s="156">
        <f t="shared" si="1"/>
        <v>7</v>
      </c>
      <c r="T11" s="157">
        <f t="shared" si="2"/>
        <v>1177</v>
      </c>
      <c r="U11" s="158">
        <f t="shared" si="3"/>
        <v>7.35625</v>
      </c>
      <c r="V11" s="137"/>
      <c r="W11" s="55">
        <f>COUNTIF(E11:Q11,"&gt;0")</f>
        <v>4</v>
      </c>
      <c r="X11" s="167">
        <f t="shared" si="5"/>
        <v>221</v>
      </c>
    </row>
    <row r="12" spans="1:24" s="137" customFormat="1" ht="12.75">
      <c r="A12" s="418" t="s">
        <v>435</v>
      </c>
      <c r="B12" s="478">
        <v>1996</v>
      </c>
      <c r="C12" s="494" t="s">
        <v>436</v>
      </c>
      <c r="D12" s="487" t="s">
        <v>341</v>
      </c>
      <c r="E12" s="184">
        <v>0</v>
      </c>
      <c r="F12" s="184">
        <v>0</v>
      </c>
      <c r="G12" s="193">
        <v>0</v>
      </c>
      <c r="H12" s="184">
        <v>275</v>
      </c>
      <c r="I12" s="184">
        <v>0</v>
      </c>
      <c r="J12" s="184">
        <v>0</v>
      </c>
      <c r="K12" s="184">
        <v>0</v>
      </c>
      <c r="L12" s="184">
        <v>279</v>
      </c>
      <c r="M12" s="184">
        <v>0</v>
      </c>
      <c r="N12" s="184">
        <v>0</v>
      </c>
      <c r="O12" s="184">
        <v>299</v>
      </c>
      <c r="P12" s="184">
        <v>0</v>
      </c>
      <c r="Q12" s="357">
        <v>262</v>
      </c>
      <c r="R12" s="336">
        <f t="shared" si="0"/>
        <v>1115</v>
      </c>
      <c r="S12" s="156">
        <f t="shared" si="1"/>
        <v>8</v>
      </c>
      <c r="T12" s="157">
        <f t="shared" si="2"/>
        <v>1115</v>
      </c>
      <c r="U12" s="158">
        <f t="shared" si="3"/>
        <v>6.96875</v>
      </c>
      <c r="W12" s="55">
        <f>COUNTIF(E12:Q12,"&gt;0")</f>
        <v>4</v>
      </c>
      <c r="X12" s="167">
        <f t="shared" si="5"/>
        <v>62</v>
      </c>
    </row>
    <row r="13" spans="1:24" s="159" customFormat="1" ht="12.75">
      <c r="A13" s="381" t="s">
        <v>441</v>
      </c>
      <c r="B13" s="478">
        <v>1989</v>
      </c>
      <c r="C13" s="492">
        <v>33718</v>
      </c>
      <c r="D13" s="485" t="s">
        <v>442</v>
      </c>
      <c r="E13" s="184">
        <v>0</v>
      </c>
      <c r="F13" s="184">
        <v>0</v>
      </c>
      <c r="G13" s="193">
        <v>0</v>
      </c>
      <c r="H13" s="184">
        <v>370</v>
      </c>
      <c r="I13" s="184">
        <v>0</v>
      </c>
      <c r="J13" s="184">
        <v>0</v>
      </c>
      <c r="K13" s="184">
        <v>0</v>
      </c>
      <c r="L13" s="184">
        <v>0</v>
      </c>
      <c r="M13" s="184">
        <v>0</v>
      </c>
      <c r="N13" s="184">
        <v>0</v>
      </c>
      <c r="O13" s="184">
        <v>372</v>
      </c>
      <c r="P13" s="184">
        <v>0</v>
      </c>
      <c r="Q13" s="357">
        <v>0</v>
      </c>
      <c r="R13" s="336">
        <f t="shared" si="0"/>
        <v>742</v>
      </c>
      <c r="S13" s="156">
        <f t="shared" si="1"/>
        <v>9</v>
      </c>
      <c r="T13" s="157">
        <f t="shared" si="2"/>
        <v>742</v>
      </c>
      <c r="U13" s="158">
        <f t="shared" si="3"/>
        <v>9.275</v>
      </c>
      <c r="V13" s="137"/>
      <c r="W13" s="55">
        <f t="shared" si="4"/>
        <v>2</v>
      </c>
      <c r="X13" s="167">
        <f t="shared" si="5"/>
        <v>373</v>
      </c>
    </row>
    <row r="14" spans="1:24" s="159" customFormat="1" ht="12.75">
      <c r="A14" s="377" t="s">
        <v>497</v>
      </c>
      <c r="B14" s="478">
        <v>1995</v>
      </c>
      <c r="C14" s="492" t="s">
        <v>498</v>
      </c>
      <c r="D14" s="487" t="s">
        <v>152</v>
      </c>
      <c r="E14" s="184">
        <v>0</v>
      </c>
      <c r="F14" s="184">
        <v>0</v>
      </c>
      <c r="G14" s="193">
        <v>0</v>
      </c>
      <c r="H14" s="184">
        <v>0</v>
      </c>
      <c r="I14" s="184">
        <v>0</v>
      </c>
      <c r="J14" s="184">
        <v>0</v>
      </c>
      <c r="K14" s="184">
        <v>0</v>
      </c>
      <c r="L14" s="184">
        <v>0</v>
      </c>
      <c r="M14" s="184">
        <v>0</v>
      </c>
      <c r="N14" s="184">
        <v>0</v>
      </c>
      <c r="O14" s="184">
        <v>316</v>
      </c>
      <c r="P14" s="184">
        <v>0</v>
      </c>
      <c r="Q14" s="357">
        <v>262</v>
      </c>
      <c r="R14" s="336">
        <f t="shared" si="0"/>
        <v>578</v>
      </c>
      <c r="S14" s="156">
        <f t="shared" si="1"/>
        <v>10</v>
      </c>
      <c r="T14" s="157">
        <f t="shared" si="2"/>
        <v>578</v>
      </c>
      <c r="U14" s="158">
        <f t="shared" si="3"/>
        <v>7.225</v>
      </c>
      <c r="V14" s="137"/>
      <c r="W14" s="55">
        <f t="shared" si="4"/>
        <v>2</v>
      </c>
      <c r="X14" s="167">
        <f t="shared" si="5"/>
        <v>164</v>
      </c>
    </row>
    <row r="15" spans="1:24" s="159" customFormat="1" ht="12.75">
      <c r="A15" s="418" t="s">
        <v>496</v>
      </c>
      <c r="B15" s="478">
        <v>1982</v>
      </c>
      <c r="C15" s="492">
        <v>37902</v>
      </c>
      <c r="D15" s="488" t="s">
        <v>442</v>
      </c>
      <c r="E15" s="184">
        <v>0</v>
      </c>
      <c r="F15" s="184">
        <v>0</v>
      </c>
      <c r="G15" s="193">
        <v>0</v>
      </c>
      <c r="H15" s="184">
        <v>0</v>
      </c>
      <c r="I15" s="184">
        <v>0</v>
      </c>
      <c r="J15" s="184">
        <v>0</v>
      </c>
      <c r="K15" s="184">
        <v>0</v>
      </c>
      <c r="L15" s="184">
        <v>0</v>
      </c>
      <c r="M15" s="184">
        <v>0</v>
      </c>
      <c r="N15" s="184">
        <v>0</v>
      </c>
      <c r="O15" s="184">
        <v>335</v>
      </c>
      <c r="P15" s="184">
        <v>0</v>
      </c>
      <c r="Q15" s="357">
        <v>0</v>
      </c>
      <c r="R15" s="336">
        <f t="shared" si="0"/>
        <v>335</v>
      </c>
      <c r="S15" s="156">
        <f t="shared" si="1"/>
        <v>11</v>
      </c>
      <c r="T15" s="157">
        <f t="shared" si="2"/>
        <v>335</v>
      </c>
      <c r="U15" s="158">
        <f t="shared" si="3"/>
        <v>8.375</v>
      </c>
      <c r="V15" s="137"/>
      <c r="W15" s="55">
        <f t="shared" si="4"/>
        <v>1</v>
      </c>
      <c r="X15" s="167">
        <f t="shared" si="5"/>
        <v>243</v>
      </c>
    </row>
    <row r="16" spans="1:24" s="137" customFormat="1" ht="12.75">
      <c r="A16" s="33" t="s">
        <v>508</v>
      </c>
      <c r="B16" s="478">
        <v>1996</v>
      </c>
      <c r="C16" s="492">
        <v>38732</v>
      </c>
      <c r="D16" s="487" t="s">
        <v>509</v>
      </c>
      <c r="E16" s="184">
        <v>0</v>
      </c>
      <c r="F16" s="184">
        <v>0</v>
      </c>
      <c r="G16" s="193">
        <v>0</v>
      </c>
      <c r="H16" s="184">
        <v>0</v>
      </c>
      <c r="I16" s="184">
        <v>0</v>
      </c>
      <c r="J16" s="184">
        <v>0</v>
      </c>
      <c r="K16" s="184">
        <v>0</v>
      </c>
      <c r="L16" s="184">
        <v>0</v>
      </c>
      <c r="M16" s="184">
        <v>0</v>
      </c>
      <c r="N16" s="184">
        <v>0</v>
      </c>
      <c r="O16" s="184">
        <v>0</v>
      </c>
      <c r="P16" s="184">
        <v>0</v>
      </c>
      <c r="Q16" s="357">
        <v>245</v>
      </c>
      <c r="R16" s="336">
        <f t="shared" si="0"/>
        <v>245</v>
      </c>
      <c r="S16" s="156">
        <f t="shared" si="1"/>
        <v>12</v>
      </c>
      <c r="T16" s="157">
        <f t="shared" si="2"/>
        <v>245</v>
      </c>
      <c r="U16" s="158">
        <f t="shared" si="3"/>
        <v>6.125</v>
      </c>
      <c r="W16" s="55">
        <f>COUNTIF(E16:Q16,"&gt;0")</f>
        <v>1</v>
      </c>
      <c r="X16" s="167">
        <f t="shared" si="5"/>
        <v>90</v>
      </c>
    </row>
    <row r="17" spans="1:24" s="159" customFormat="1" ht="12.75">
      <c r="A17" s="381" t="s">
        <v>500</v>
      </c>
      <c r="B17" s="476">
        <v>1989</v>
      </c>
      <c r="C17" s="494" t="s">
        <v>501</v>
      </c>
      <c r="D17" s="483" t="s">
        <v>60</v>
      </c>
      <c r="E17" s="184">
        <v>0</v>
      </c>
      <c r="F17" s="184">
        <v>0</v>
      </c>
      <c r="G17" s="193">
        <v>0</v>
      </c>
      <c r="H17" s="184">
        <v>0</v>
      </c>
      <c r="I17" s="184">
        <v>0</v>
      </c>
      <c r="J17" s="184">
        <v>0</v>
      </c>
      <c r="K17" s="184">
        <v>0</v>
      </c>
      <c r="L17" s="184">
        <v>0</v>
      </c>
      <c r="M17" s="184">
        <v>0</v>
      </c>
      <c r="N17" s="184">
        <v>0</v>
      </c>
      <c r="O17" s="184">
        <v>224</v>
      </c>
      <c r="P17" s="184">
        <v>0</v>
      </c>
      <c r="Q17" s="357">
        <v>0</v>
      </c>
      <c r="R17" s="336">
        <f t="shared" si="0"/>
        <v>224</v>
      </c>
      <c r="S17" s="156">
        <f t="shared" si="1"/>
        <v>13</v>
      </c>
      <c r="T17" s="157">
        <f t="shared" si="2"/>
        <v>224</v>
      </c>
      <c r="U17" s="158">
        <f t="shared" si="3"/>
        <v>5.6</v>
      </c>
      <c r="V17" s="137"/>
      <c r="W17" s="55">
        <f>COUNTIF(E17:Q17,"&gt;0")</f>
        <v>1</v>
      </c>
      <c r="X17" s="167">
        <f t="shared" si="5"/>
        <v>21</v>
      </c>
    </row>
    <row r="18" spans="1:24" s="159" customFormat="1" ht="12.75">
      <c r="A18" s="33" t="s">
        <v>510</v>
      </c>
      <c r="B18" s="34">
        <v>1996</v>
      </c>
      <c r="C18" s="492">
        <v>38889</v>
      </c>
      <c r="D18" s="55" t="s">
        <v>509</v>
      </c>
      <c r="E18" s="184">
        <v>0</v>
      </c>
      <c r="F18" s="184">
        <v>0</v>
      </c>
      <c r="G18" s="193">
        <v>0</v>
      </c>
      <c r="H18" s="184">
        <v>0</v>
      </c>
      <c r="I18" s="184">
        <v>0</v>
      </c>
      <c r="J18" s="184">
        <v>0</v>
      </c>
      <c r="K18" s="184">
        <v>0</v>
      </c>
      <c r="L18" s="184">
        <v>0</v>
      </c>
      <c r="M18" s="184">
        <v>0</v>
      </c>
      <c r="N18" s="184">
        <v>0</v>
      </c>
      <c r="O18" s="184">
        <v>0</v>
      </c>
      <c r="P18" s="184">
        <v>0</v>
      </c>
      <c r="Q18" s="357">
        <v>191</v>
      </c>
      <c r="R18" s="336">
        <v>191</v>
      </c>
      <c r="S18" s="156">
        <f t="shared" si="1"/>
        <v>14</v>
      </c>
      <c r="T18" s="157">
        <f t="shared" si="2"/>
        <v>191</v>
      </c>
      <c r="U18" s="158">
        <f t="shared" si="3"/>
        <v>4.775</v>
      </c>
      <c r="V18" s="137"/>
      <c r="W18" s="55">
        <f t="shared" si="4"/>
        <v>1</v>
      </c>
      <c r="X18" s="167">
        <f t="shared" si="5"/>
        <v>33</v>
      </c>
    </row>
    <row r="19" spans="1:24" s="159" customFormat="1" ht="12.75">
      <c r="A19" s="159" t="s">
        <v>47</v>
      </c>
      <c r="B19" s="56">
        <v>1981</v>
      </c>
      <c r="C19" s="491">
        <v>18641</v>
      </c>
      <c r="D19" s="55" t="s">
        <v>53</v>
      </c>
      <c r="E19" s="184">
        <v>0</v>
      </c>
      <c r="F19" s="184">
        <v>0</v>
      </c>
      <c r="G19" s="193">
        <v>0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0</v>
      </c>
      <c r="P19" s="184">
        <v>0</v>
      </c>
      <c r="Q19" s="357">
        <v>0</v>
      </c>
      <c r="R19" s="336">
        <f aca="true" t="shared" si="6" ref="R19:R24">MAX(E19:P19)+LARGE(E19:P19,2)+LARGE(E19:P19,3)+LARGE(E19:P19,4)+LARGE(E19:P19,5)+Q19</f>
        <v>0</v>
      </c>
      <c r="S19" s="156">
        <f t="shared" si="1"/>
        <v>15</v>
      </c>
      <c r="T19" s="157">
        <f t="shared" si="2"/>
        <v>0</v>
      </c>
      <c r="U19" s="158" t="e">
        <f t="shared" si="3"/>
        <v>#DIV/0!</v>
      </c>
      <c r="V19" s="137"/>
      <c r="W19" s="55">
        <f t="shared" si="4"/>
        <v>0</v>
      </c>
      <c r="X19" s="167">
        <f t="shared" si="5"/>
        <v>191</v>
      </c>
    </row>
    <row r="20" spans="1:24" s="159" customFormat="1" ht="12.75">
      <c r="A20" s="137" t="s">
        <v>173</v>
      </c>
      <c r="B20" s="417">
        <v>1992</v>
      </c>
      <c r="C20" s="492" t="s">
        <v>174</v>
      </c>
      <c r="D20" s="417" t="s">
        <v>52</v>
      </c>
      <c r="E20" s="184">
        <v>0</v>
      </c>
      <c r="F20" s="184">
        <v>0</v>
      </c>
      <c r="G20" s="193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4">
        <v>0</v>
      </c>
      <c r="P20" s="184">
        <v>0</v>
      </c>
      <c r="Q20" s="357">
        <v>0</v>
      </c>
      <c r="R20" s="336">
        <f t="shared" si="6"/>
        <v>0</v>
      </c>
      <c r="S20" s="156">
        <f t="shared" si="1"/>
        <v>15</v>
      </c>
      <c r="T20" s="157">
        <f t="shared" si="2"/>
        <v>0</v>
      </c>
      <c r="U20" s="158" t="e">
        <f t="shared" si="3"/>
        <v>#DIV/0!</v>
      </c>
      <c r="V20" s="137"/>
      <c r="W20" s="55">
        <f t="shared" si="4"/>
        <v>0</v>
      </c>
      <c r="X20" s="167">
        <f t="shared" si="5"/>
        <v>0</v>
      </c>
    </row>
    <row r="21" spans="1:24" s="159" customFormat="1" ht="12.75">
      <c r="A21" s="418"/>
      <c r="B21" s="478"/>
      <c r="C21" s="492"/>
      <c r="D21" s="485"/>
      <c r="E21" s="184">
        <v>0</v>
      </c>
      <c r="F21" s="184">
        <v>0</v>
      </c>
      <c r="G21" s="193">
        <v>0</v>
      </c>
      <c r="H21" s="184">
        <v>0</v>
      </c>
      <c r="I21" s="184">
        <v>0</v>
      </c>
      <c r="J21" s="184">
        <v>0</v>
      </c>
      <c r="K21" s="184">
        <v>0</v>
      </c>
      <c r="L21" s="184">
        <v>0</v>
      </c>
      <c r="M21" s="184">
        <v>0</v>
      </c>
      <c r="N21" s="184">
        <v>0</v>
      </c>
      <c r="O21" s="184">
        <v>0</v>
      </c>
      <c r="P21" s="184">
        <v>0</v>
      </c>
      <c r="Q21" s="357">
        <v>0</v>
      </c>
      <c r="R21" s="336">
        <f t="shared" si="6"/>
        <v>0</v>
      </c>
      <c r="S21" s="156">
        <f t="shared" si="1"/>
        <v>15</v>
      </c>
      <c r="T21" s="157">
        <f t="shared" si="2"/>
        <v>0</v>
      </c>
      <c r="U21" s="158" t="e">
        <f t="shared" si="3"/>
        <v>#DIV/0!</v>
      </c>
      <c r="V21" s="137"/>
      <c r="W21" s="55">
        <f t="shared" si="4"/>
        <v>0</v>
      </c>
      <c r="X21" s="167">
        <f t="shared" si="5"/>
        <v>0</v>
      </c>
    </row>
    <row r="22" spans="1:24" s="159" customFormat="1" ht="12.75">
      <c r="A22" s="381"/>
      <c r="B22" s="480"/>
      <c r="C22" s="495"/>
      <c r="D22" s="489"/>
      <c r="E22" s="184">
        <v>0</v>
      </c>
      <c r="F22" s="184">
        <v>0</v>
      </c>
      <c r="G22" s="193">
        <v>0</v>
      </c>
      <c r="H22" s="184">
        <v>0</v>
      </c>
      <c r="I22" s="184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184">
        <v>0</v>
      </c>
      <c r="P22" s="184">
        <v>0</v>
      </c>
      <c r="Q22" s="357">
        <v>0</v>
      </c>
      <c r="R22" s="336">
        <f t="shared" si="6"/>
        <v>0</v>
      </c>
      <c r="S22" s="156">
        <f t="shared" si="1"/>
        <v>15</v>
      </c>
      <c r="T22" s="157">
        <f t="shared" si="2"/>
        <v>0</v>
      </c>
      <c r="U22" s="158" t="e">
        <f t="shared" si="3"/>
        <v>#DIV/0!</v>
      </c>
      <c r="V22" s="137"/>
      <c r="W22" s="55">
        <f t="shared" si="4"/>
        <v>0</v>
      </c>
      <c r="X22" s="167">
        <f t="shared" si="5"/>
        <v>0</v>
      </c>
    </row>
    <row r="23" spans="1:24" s="159" customFormat="1" ht="12.75">
      <c r="A23" s="381"/>
      <c r="B23" s="480"/>
      <c r="C23" s="495"/>
      <c r="D23" s="489"/>
      <c r="E23" s="184">
        <v>0</v>
      </c>
      <c r="F23" s="184">
        <v>0</v>
      </c>
      <c r="G23" s="193">
        <v>0</v>
      </c>
      <c r="H23" s="184">
        <v>0</v>
      </c>
      <c r="I23" s="184">
        <v>0</v>
      </c>
      <c r="J23" s="184">
        <v>0</v>
      </c>
      <c r="K23" s="184">
        <v>0</v>
      </c>
      <c r="L23" s="184">
        <v>0</v>
      </c>
      <c r="M23" s="184">
        <v>0</v>
      </c>
      <c r="N23" s="184">
        <v>0</v>
      </c>
      <c r="O23" s="184">
        <v>0</v>
      </c>
      <c r="P23" s="184">
        <v>0</v>
      </c>
      <c r="Q23" s="357">
        <v>0</v>
      </c>
      <c r="R23" s="336">
        <f t="shared" si="6"/>
        <v>0</v>
      </c>
      <c r="S23" s="156">
        <f t="shared" si="1"/>
        <v>15</v>
      </c>
      <c r="T23" s="157">
        <f t="shared" si="2"/>
        <v>0</v>
      </c>
      <c r="U23" s="158" t="e">
        <f t="shared" si="3"/>
        <v>#DIV/0!</v>
      </c>
      <c r="V23" s="137"/>
      <c r="W23" s="55">
        <f t="shared" si="4"/>
        <v>0</v>
      </c>
      <c r="X23" s="167">
        <f t="shared" si="5"/>
        <v>0</v>
      </c>
    </row>
    <row r="24" spans="1:24" s="159" customFormat="1" ht="13.5" thickBot="1">
      <c r="A24" s="382"/>
      <c r="B24" s="481"/>
      <c r="C24" s="219"/>
      <c r="D24" s="490"/>
      <c r="E24" s="162">
        <v>0</v>
      </c>
      <c r="F24" s="162">
        <v>0</v>
      </c>
      <c r="G24" s="195">
        <v>0</v>
      </c>
      <c r="H24" s="162">
        <v>0</v>
      </c>
      <c r="I24" s="162">
        <v>0</v>
      </c>
      <c r="J24" s="162">
        <v>0</v>
      </c>
      <c r="K24" s="162">
        <v>0</v>
      </c>
      <c r="L24" s="162">
        <v>0</v>
      </c>
      <c r="M24" s="162">
        <v>0</v>
      </c>
      <c r="N24" s="162">
        <v>0</v>
      </c>
      <c r="O24" s="162">
        <v>0</v>
      </c>
      <c r="P24" s="162">
        <v>0</v>
      </c>
      <c r="Q24" s="358">
        <v>0</v>
      </c>
      <c r="R24" s="338">
        <f t="shared" si="6"/>
        <v>0</v>
      </c>
      <c r="S24" s="163">
        <f t="shared" si="1"/>
        <v>15</v>
      </c>
      <c r="T24" s="164">
        <f t="shared" si="2"/>
        <v>0</v>
      </c>
      <c r="U24" s="165" t="e">
        <f t="shared" si="3"/>
        <v>#DIV/0!</v>
      </c>
      <c r="V24" s="137"/>
      <c r="W24" s="55">
        <f t="shared" si="4"/>
        <v>0</v>
      </c>
      <c r="X24" s="167">
        <f t="shared" si="5"/>
        <v>0</v>
      </c>
    </row>
    <row r="25" spans="1:21" s="54" customFormat="1" ht="12.75">
      <c r="A25" s="23"/>
      <c r="B25" s="75"/>
      <c r="C25" s="106"/>
      <c r="D25" s="75"/>
      <c r="E25" s="75"/>
      <c r="F25" s="75"/>
      <c r="G25" s="75"/>
      <c r="H25" s="75"/>
      <c r="I25" s="75"/>
      <c r="J25" s="75"/>
      <c r="K25" s="75"/>
      <c r="L25" s="75"/>
      <c r="M25" s="166"/>
      <c r="N25" s="75"/>
      <c r="O25" s="75"/>
      <c r="P25" s="75"/>
      <c r="Q25" s="50"/>
      <c r="R25" s="45"/>
      <c r="S25" s="53"/>
      <c r="T25" s="45"/>
      <c r="U25" s="45"/>
    </row>
    <row r="26" spans="1:23" s="159" customFormat="1" ht="13.5" thickBot="1">
      <c r="A26" s="83"/>
      <c r="B26" s="55"/>
      <c r="C26" s="1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137"/>
      <c r="W26" s="56"/>
    </row>
    <row r="27" spans="1:23" s="174" customFormat="1" ht="23.25" customHeight="1" thickBot="1">
      <c r="A27" s="84" t="s">
        <v>105</v>
      </c>
      <c r="B27" s="169"/>
      <c r="C27" s="170"/>
      <c r="D27" s="169"/>
      <c r="E27" s="169"/>
      <c r="F27" s="169"/>
      <c r="G27" s="169"/>
      <c r="H27" s="169"/>
      <c r="I27" s="169"/>
      <c r="J27" s="169"/>
      <c r="K27" s="169"/>
      <c r="L27" s="169"/>
      <c r="M27" s="171"/>
      <c r="N27" s="169"/>
      <c r="O27" s="169"/>
      <c r="P27" s="169"/>
      <c r="Q27" s="169"/>
      <c r="R27" s="169"/>
      <c r="S27" s="169"/>
      <c r="T27" s="169"/>
      <c r="U27" s="169"/>
      <c r="V27" s="172"/>
      <c r="W27" s="173"/>
    </row>
    <row r="28" spans="1:24" s="174" customFormat="1" ht="39.75" customHeight="1" thickBot="1">
      <c r="A28" s="82" t="s">
        <v>9</v>
      </c>
      <c r="B28" s="146" t="s">
        <v>5</v>
      </c>
      <c r="C28" s="383" t="s">
        <v>6</v>
      </c>
      <c r="D28" s="148" t="s">
        <v>64</v>
      </c>
      <c r="E28" s="181" t="s">
        <v>115</v>
      </c>
      <c r="F28" s="146" t="s">
        <v>116</v>
      </c>
      <c r="G28" s="340" t="s">
        <v>126</v>
      </c>
      <c r="H28" s="339" t="s">
        <v>117</v>
      </c>
      <c r="I28" s="339" t="s">
        <v>118</v>
      </c>
      <c r="J28" s="345" t="s">
        <v>400</v>
      </c>
      <c r="K28" s="339" t="s">
        <v>119</v>
      </c>
      <c r="L28" s="342" t="s">
        <v>120</v>
      </c>
      <c r="M28" s="341" t="s">
        <v>121</v>
      </c>
      <c r="N28" s="340" t="s">
        <v>122</v>
      </c>
      <c r="O28" s="339" t="s">
        <v>123</v>
      </c>
      <c r="P28" s="339" t="s">
        <v>124</v>
      </c>
      <c r="Q28" s="350" t="s">
        <v>125</v>
      </c>
      <c r="R28" s="148" t="s">
        <v>65</v>
      </c>
      <c r="S28" s="181" t="s">
        <v>66</v>
      </c>
      <c r="T28" s="148" t="s">
        <v>67</v>
      </c>
      <c r="U28" s="325" t="s">
        <v>69</v>
      </c>
      <c r="V28" s="172"/>
      <c r="W28" s="321" t="s">
        <v>109</v>
      </c>
      <c r="X28" s="321" t="s">
        <v>110</v>
      </c>
    </row>
    <row r="29" spans="1:24" s="159" customFormat="1" ht="12.75">
      <c r="A29" s="454" t="s">
        <v>284</v>
      </c>
      <c r="B29" s="455">
        <v>1957</v>
      </c>
      <c r="C29" s="456" t="s">
        <v>285</v>
      </c>
      <c r="D29" s="463" t="s">
        <v>270</v>
      </c>
      <c r="E29" s="457">
        <v>559</v>
      </c>
      <c r="F29" s="458">
        <v>558</v>
      </c>
      <c r="G29" s="458">
        <v>549</v>
      </c>
      <c r="H29" s="458">
        <v>567</v>
      </c>
      <c r="I29" s="458">
        <v>561</v>
      </c>
      <c r="J29" s="458">
        <v>562</v>
      </c>
      <c r="K29" s="458">
        <v>563</v>
      </c>
      <c r="L29" s="458">
        <v>567</v>
      </c>
      <c r="M29" s="458">
        <v>562</v>
      </c>
      <c r="N29" s="458">
        <v>0</v>
      </c>
      <c r="O29" s="458">
        <v>542</v>
      </c>
      <c r="P29" s="458">
        <v>0</v>
      </c>
      <c r="Q29" s="459">
        <v>549</v>
      </c>
      <c r="R29" s="457">
        <f aca="true" t="shared" si="7" ref="R29:R69">MAX(E29:P29)+LARGE(E29:P29,2)+LARGE(E29:P29,3)+LARGE(E29:P29,4)+LARGE(E29:P29,5)+Q29</f>
        <v>3370</v>
      </c>
      <c r="S29" s="497">
        <f aca="true" t="shared" si="8" ref="S29:S69">RANK(R29,R$29:R$69)</f>
        <v>1</v>
      </c>
      <c r="T29" s="460">
        <f aca="true" t="shared" si="9" ref="T29:T69">SUM(E29:Q29)</f>
        <v>6139</v>
      </c>
      <c r="U29" s="461">
        <f aca="true" t="shared" si="10" ref="U29:U69">T29/(60*W29)</f>
        <v>9.30151515151515</v>
      </c>
      <c r="V29" s="137"/>
      <c r="W29" s="55">
        <f aca="true" t="shared" si="11" ref="W29:W69">COUNTIF(E29:Q29,"&gt;0")</f>
        <v>11</v>
      </c>
      <c r="X29" s="167" t="e">
        <f>R28-R29</f>
        <v>#VALUE!</v>
      </c>
    </row>
    <row r="30" spans="1:24" s="152" customFormat="1" ht="12.75">
      <c r="A30" s="216" t="s">
        <v>103</v>
      </c>
      <c r="B30" s="55">
        <v>1970</v>
      </c>
      <c r="C30" s="425" t="s">
        <v>73</v>
      </c>
      <c r="D30" s="217" t="s">
        <v>74</v>
      </c>
      <c r="E30" s="193">
        <v>562</v>
      </c>
      <c r="F30" s="184">
        <v>562</v>
      </c>
      <c r="G30" s="184">
        <v>550</v>
      </c>
      <c r="H30" s="184">
        <v>560</v>
      </c>
      <c r="I30" s="184">
        <v>560</v>
      </c>
      <c r="J30" s="184">
        <v>554</v>
      </c>
      <c r="K30" s="184">
        <v>563</v>
      </c>
      <c r="L30" s="184">
        <v>0</v>
      </c>
      <c r="M30" s="184">
        <v>559</v>
      </c>
      <c r="N30" s="184">
        <v>0</v>
      </c>
      <c r="O30" s="184">
        <v>548</v>
      </c>
      <c r="P30" s="184">
        <v>0</v>
      </c>
      <c r="Q30" s="357">
        <v>558</v>
      </c>
      <c r="R30" s="193">
        <f t="shared" si="7"/>
        <v>3365</v>
      </c>
      <c r="S30" s="185">
        <f t="shared" si="8"/>
        <v>2</v>
      </c>
      <c r="T30" s="436">
        <f t="shared" si="9"/>
        <v>5576</v>
      </c>
      <c r="U30" s="437">
        <f t="shared" si="10"/>
        <v>9.293333333333333</v>
      </c>
      <c r="V30" s="319"/>
      <c r="W30" s="52">
        <f t="shared" si="11"/>
        <v>10</v>
      </c>
      <c r="X30" s="167">
        <f aca="true" t="shared" si="12" ref="X30:X68">R29-R30</f>
        <v>5</v>
      </c>
    </row>
    <row r="31" spans="1:24" s="159" customFormat="1" ht="12.75">
      <c r="A31" s="216" t="s">
        <v>49</v>
      </c>
      <c r="B31" s="55">
        <v>1954</v>
      </c>
      <c r="C31" s="425" t="s">
        <v>77</v>
      </c>
      <c r="D31" s="217" t="s">
        <v>53</v>
      </c>
      <c r="E31" s="193">
        <v>560</v>
      </c>
      <c r="F31" s="184">
        <v>538</v>
      </c>
      <c r="G31" s="184">
        <v>557</v>
      </c>
      <c r="H31" s="184">
        <v>545</v>
      </c>
      <c r="I31" s="184">
        <v>560</v>
      </c>
      <c r="J31" s="184">
        <v>558</v>
      </c>
      <c r="K31" s="184">
        <v>540</v>
      </c>
      <c r="L31" s="184">
        <v>554</v>
      </c>
      <c r="M31" s="184">
        <v>550</v>
      </c>
      <c r="N31" s="184">
        <v>0</v>
      </c>
      <c r="O31" s="184">
        <v>537</v>
      </c>
      <c r="P31" s="184">
        <v>0</v>
      </c>
      <c r="Q31" s="357">
        <v>546</v>
      </c>
      <c r="R31" s="193">
        <f t="shared" si="7"/>
        <v>3335</v>
      </c>
      <c r="S31" s="185">
        <f t="shared" si="8"/>
        <v>3</v>
      </c>
      <c r="T31" s="214">
        <f t="shared" si="9"/>
        <v>6045</v>
      </c>
      <c r="U31" s="323">
        <f t="shared" si="10"/>
        <v>9.159090909090908</v>
      </c>
      <c r="V31" s="137"/>
      <c r="W31" s="55">
        <f t="shared" si="11"/>
        <v>11</v>
      </c>
      <c r="X31" s="167">
        <f t="shared" si="12"/>
        <v>30</v>
      </c>
    </row>
    <row r="32" spans="1:24" s="159" customFormat="1" ht="12.75">
      <c r="A32" s="216" t="s">
        <v>129</v>
      </c>
      <c r="B32" s="55">
        <v>1935</v>
      </c>
      <c r="C32" s="425" t="s">
        <v>71</v>
      </c>
      <c r="D32" s="217" t="s">
        <v>72</v>
      </c>
      <c r="E32" s="193">
        <v>552</v>
      </c>
      <c r="F32" s="184">
        <v>548</v>
      </c>
      <c r="G32" s="184">
        <v>555</v>
      </c>
      <c r="H32" s="184">
        <v>548</v>
      </c>
      <c r="I32" s="184">
        <v>546</v>
      </c>
      <c r="J32" s="184">
        <v>547</v>
      </c>
      <c r="K32" s="184">
        <v>549</v>
      </c>
      <c r="L32" s="184">
        <v>543</v>
      </c>
      <c r="M32" s="184">
        <v>549</v>
      </c>
      <c r="N32" s="184">
        <v>0</v>
      </c>
      <c r="O32" s="184">
        <v>554</v>
      </c>
      <c r="P32" s="184">
        <v>0</v>
      </c>
      <c r="Q32" s="357">
        <v>559</v>
      </c>
      <c r="R32" s="193">
        <f t="shared" si="7"/>
        <v>3318</v>
      </c>
      <c r="S32" s="185">
        <f t="shared" si="8"/>
        <v>4</v>
      </c>
      <c r="T32" s="214">
        <f t="shared" si="9"/>
        <v>6050</v>
      </c>
      <c r="U32" s="323">
        <f t="shared" si="10"/>
        <v>9.166666666666666</v>
      </c>
      <c r="V32" s="137"/>
      <c r="W32" s="55">
        <f t="shared" si="11"/>
        <v>11</v>
      </c>
      <c r="X32" s="167">
        <f t="shared" si="12"/>
        <v>17</v>
      </c>
    </row>
    <row r="33" spans="1:24" s="159" customFormat="1" ht="12.75">
      <c r="A33" s="216" t="s">
        <v>134</v>
      </c>
      <c r="B33" s="55">
        <v>1955</v>
      </c>
      <c r="C33" s="425" t="s">
        <v>82</v>
      </c>
      <c r="D33" s="104" t="s">
        <v>130</v>
      </c>
      <c r="E33" s="193">
        <v>551</v>
      </c>
      <c r="F33" s="184">
        <v>538</v>
      </c>
      <c r="G33" s="184">
        <v>532</v>
      </c>
      <c r="H33" s="184">
        <v>543</v>
      </c>
      <c r="I33" s="184">
        <v>0</v>
      </c>
      <c r="J33" s="184">
        <v>544</v>
      </c>
      <c r="K33" s="184">
        <v>557</v>
      </c>
      <c r="L33" s="184">
        <v>541</v>
      </c>
      <c r="M33" s="184">
        <v>560</v>
      </c>
      <c r="N33" s="184">
        <v>0</v>
      </c>
      <c r="O33" s="184">
        <v>560</v>
      </c>
      <c r="P33" s="184">
        <v>0</v>
      </c>
      <c r="Q33" s="357">
        <v>540</v>
      </c>
      <c r="R33" s="193">
        <f t="shared" si="7"/>
        <v>3312</v>
      </c>
      <c r="S33" s="185">
        <f t="shared" si="8"/>
        <v>5</v>
      </c>
      <c r="T33" s="214">
        <f t="shared" si="9"/>
        <v>5466</v>
      </c>
      <c r="U33" s="323">
        <f t="shared" si="10"/>
        <v>9.11</v>
      </c>
      <c r="V33" s="137"/>
      <c r="W33" s="55">
        <f t="shared" si="11"/>
        <v>10</v>
      </c>
      <c r="X33" s="167">
        <f t="shared" si="12"/>
        <v>6</v>
      </c>
    </row>
    <row r="34" spans="1:24" s="159" customFormat="1" ht="12.75">
      <c r="A34" s="216" t="s">
        <v>48</v>
      </c>
      <c r="B34" s="55">
        <v>1976</v>
      </c>
      <c r="C34" s="425" t="s">
        <v>85</v>
      </c>
      <c r="D34" s="217" t="s">
        <v>53</v>
      </c>
      <c r="E34" s="193">
        <v>551</v>
      </c>
      <c r="F34" s="184">
        <v>558</v>
      </c>
      <c r="G34" s="184">
        <v>543</v>
      </c>
      <c r="H34" s="184">
        <v>0</v>
      </c>
      <c r="I34" s="184">
        <v>541</v>
      </c>
      <c r="J34" s="184">
        <v>543</v>
      </c>
      <c r="K34" s="184">
        <v>539</v>
      </c>
      <c r="L34" s="184">
        <v>538</v>
      </c>
      <c r="M34" s="184">
        <v>0</v>
      </c>
      <c r="N34" s="184">
        <v>0</v>
      </c>
      <c r="O34" s="184">
        <v>558</v>
      </c>
      <c r="P34" s="184">
        <v>0</v>
      </c>
      <c r="Q34" s="357">
        <v>558</v>
      </c>
      <c r="R34" s="193">
        <f t="shared" si="7"/>
        <v>3311</v>
      </c>
      <c r="S34" s="185">
        <f t="shared" si="8"/>
        <v>6</v>
      </c>
      <c r="T34" s="214">
        <f t="shared" si="9"/>
        <v>4929</v>
      </c>
      <c r="U34" s="323">
        <f t="shared" si="10"/>
        <v>9.127777777777778</v>
      </c>
      <c r="V34" s="137"/>
      <c r="W34" s="55">
        <f t="shared" si="11"/>
        <v>9</v>
      </c>
      <c r="X34" s="167">
        <f t="shared" si="12"/>
        <v>1</v>
      </c>
    </row>
    <row r="35" spans="1:24" s="159" customFormat="1" ht="12.75">
      <c r="A35" s="216" t="s">
        <v>344</v>
      </c>
      <c r="B35" s="55">
        <v>1975</v>
      </c>
      <c r="C35" s="425" t="s">
        <v>359</v>
      </c>
      <c r="D35" s="217" t="s">
        <v>74</v>
      </c>
      <c r="E35" s="193">
        <v>537</v>
      </c>
      <c r="F35" s="184">
        <v>534</v>
      </c>
      <c r="G35" s="184">
        <v>550</v>
      </c>
      <c r="H35" s="184">
        <v>0</v>
      </c>
      <c r="I35" s="184">
        <v>539</v>
      </c>
      <c r="J35" s="184">
        <v>561</v>
      </c>
      <c r="K35" s="184">
        <v>554</v>
      </c>
      <c r="L35" s="184">
        <v>545</v>
      </c>
      <c r="M35" s="184">
        <v>548</v>
      </c>
      <c r="N35" s="184">
        <v>0</v>
      </c>
      <c r="O35" s="184">
        <v>549</v>
      </c>
      <c r="P35" s="184">
        <v>0</v>
      </c>
      <c r="Q35" s="357">
        <v>545</v>
      </c>
      <c r="R35" s="193">
        <f t="shared" si="7"/>
        <v>3307</v>
      </c>
      <c r="S35" s="185">
        <f t="shared" si="8"/>
        <v>7</v>
      </c>
      <c r="T35" s="214">
        <f t="shared" si="9"/>
        <v>5462</v>
      </c>
      <c r="U35" s="323">
        <f t="shared" si="10"/>
        <v>9.103333333333333</v>
      </c>
      <c r="V35" s="137"/>
      <c r="W35" s="55">
        <f t="shared" si="11"/>
        <v>10</v>
      </c>
      <c r="X35" s="167">
        <f t="shared" si="12"/>
        <v>4</v>
      </c>
    </row>
    <row r="36" spans="1:24" s="159" customFormat="1" ht="12.75">
      <c r="A36" s="216" t="s">
        <v>297</v>
      </c>
      <c r="B36" s="55">
        <v>1969</v>
      </c>
      <c r="C36" s="425" t="s">
        <v>356</v>
      </c>
      <c r="D36" s="217" t="s">
        <v>357</v>
      </c>
      <c r="E36" s="193">
        <v>532</v>
      </c>
      <c r="F36" s="184">
        <v>535</v>
      </c>
      <c r="G36" s="184">
        <v>545</v>
      </c>
      <c r="H36" s="184">
        <v>532</v>
      </c>
      <c r="I36" s="184">
        <v>546</v>
      </c>
      <c r="J36" s="184">
        <v>545</v>
      </c>
      <c r="K36" s="184">
        <v>542</v>
      </c>
      <c r="L36" s="184">
        <v>543</v>
      </c>
      <c r="M36" s="184">
        <v>0</v>
      </c>
      <c r="N36" s="184">
        <v>0</v>
      </c>
      <c r="O36" s="184">
        <v>554</v>
      </c>
      <c r="P36" s="184">
        <v>0</v>
      </c>
      <c r="Q36" s="357">
        <v>549</v>
      </c>
      <c r="R36" s="193">
        <f t="shared" si="7"/>
        <v>3282</v>
      </c>
      <c r="S36" s="185">
        <f t="shared" si="8"/>
        <v>8</v>
      </c>
      <c r="T36" s="214">
        <f t="shared" si="9"/>
        <v>5423</v>
      </c>
      <c r="U36" s="323">
        <f t="shared" si="10"/>
        <v>9.038333333333334</v>
      </c>
      <c r="V36" s="137"/>
      <c r="W36" s="55">
        <f t="shared" si="11"/>
        <v>10</v>
      </c>
      <c r="X36" s="167">
        <f t="shared" si="12"/>
        <v>25</v>
      </c>
    </row>
    <row r="37" spans="1:24" s="159" customFormat="1" ht="12.75">
      <c r="A37" s="216" t="s">
        <v>51</v>
      </c>
      <c r="B37" s="55">
        <v>1940</v>
      </c>
      <c r="C37" s="425" t="s">
        <v>78</v>
      </c>
      <c r="D37" s="217" t="s">
        <v>53</v>
      </c>
      <c r="E37" s="193">
        <v>537</v>
      </c>
      <c r="F37" s="184">
        <v>545</v>
      </c>
      <c r="G37" s="184">
        <v>544</v>
      </c>
      <c r="H37" s="184">
        <v>518</v>
      </c>
      <c r="I37" s="184">
        <v>0</v>
      </c>
      <c r="J37" s="184">
        <v>535</v>
      </c>
      <c r="K37" s="184">
        <v>533</v>
      </c>
      <c r="L37" s="184">
        <v>512</v>
      </c>
      <c r="M37" s="184">
        <v>525</v>
      </c>
      <c r="N37" s="184">
        <v>0</v>
      </c>
      <c r="O37" s="184">
        <v>525</v>
      </c>
      <c r="P37" s="184">
        <v>0</v>
      </c>
      <c r="Q37" s="357">
        <v>531</v>
      </c>
      <c r="R37" s="193">
        <f t="shared" si="7"/>
        <v>3225</v>
      </c>
      <c r="S37" s="185">
        <f t="shared" si="8"/>
        <v>9</v>
      </c>
      <c r="T37" s="214">
        <f t="shared" si="9"/>
        <v>5305</v>
      </c>
      <c r="U37" s="323">
        <f t="shared" si="10"/>
        <v>8.841666666666667</v>
      </c>
      <c r="V37" s="137"/>
      <c r="W37" s="55">
        <f t="shared" si="11"/>
        <v>10</v>
      </c>
      <c r="X37" s="167">
        <f t="shared" si="12"/>
        <v>57</v>
      </c>
    </row>
    <row r="38" spans="1:24" s="159" customFormat="1" ht="12.75">
      <c r="A38" s="216" t="s">
        <v>148</v>
      </c>
      <c r="B38" s="55">
        <v>1978</v>
      </c>
      <c r="C38" s="425" t="s">
        <v>151</v>
      </c>
      <c r="D38" s="217" t="s">
        <v>150</v>
      </c>
      <c r="E38" s="193">
        <v>526</v>
      </c>
      <c r="F38" s="184">
        <v>516</v>
      </c>
      <c r="G38" s="184">
        <v>529</v>
      </c>
      <c r="H38" s="184">
        <v>512</v>
      </c>
      <c r="I38" s="184">
        <v>0</v>
      </c>
      <c r="J38" s="184">
        <v>481</v>
      </c>
      <c r="K38" s="184">
        <v>516</v>
      </c>
      <c r="L38" s="184">
        <v>521</v>
      </c>
      <c r="M38" s="184">
        <v>410</v>
      </c>
      <c r="N38" s="184">
        <v>0</v>
      </c>
      <c r="O38" s="184">
        <v>486</v>
      </c>
      <c r="P38" s="184">
        <v>0</v>
      </c>
      <c r="Q38" s="357">
        <v>529</v>
      </c>
      <c r="R38" s="193">
        <f t="shared" si="7"/>
        <v>3137</v>
      </c>
      <c r="S38" s="185">
        <f t="shared" si="8"/>
        <v>10</v>
      </c>
      <c r="T38" s="214">
        <f t="shared" si="9"/>
        <v>5026</v>
      </c>
      <c r="U38" s="323">
        <f t="shared" si="10"/>
        <v>8.376666666666667</v>
      </c>
      <c r="V38" s="137"/>
      <c r="W38" s="55">
        <f t="shared" si="11"/>
        <v>10</v>
      </c>
      <c r="X38" s="167">
        <f t="shared" si="12"/>
        <v>88</v>
      </c>
    </row>
    <row r="39" spans="1:24" s="159" customFormat="1" ht="12.75">
      <c r="A39" s="447" t="s">
        <v>175</v>
      </c>
      <c r="B39" s="110">
        <v>1971</v>
      </c>
      <c r="C39" s="446" t="s">
        <v>176</v>
      </c>
      <c r="D39" s="104" t="s">
        <v>53</v>
      </c>
      <c r="E39" s="193">
        <v>523</v>
      </c>
      <c r="F39" s="184">
        <v>521</v>
      </c>
      <c r="G39" s="184">
        <v>476</v>
      </c>
      <c r="H39" s="184">
        <v>0</v>
      </c>
      <c r="I39" s="184">
        <v>491</v>
      </c>
      <c r="J39" s="184">
        <v>0</v>
      </c>
      <c r="K39" s="184">
        <v>474</v>
      </c>
      <c r="L39" s="184">
        <v>506</v>
      </c>
      <c r="M39" s="184">
        <v>516</v>
      </c>
      <c r="N39" s="184">
        <v>0</v>
      </c>
      <c r="O39" s="184">
        <v>531</v>
      </c>
      <c r="P39" s="184">
        <v>0</v>
      </c>
      <c r="Q39" s="357">
        <v>502</v>
      </c>
      <c r="R39" s="193">
        <f t="shared" si="7"/>
        <v>3099</v>
      </c>
      <c r="S39" s="185">
        <f t="shared" si="8"/>
        <v>11</v>
      </c>
      <c r="T39" s="214">
        <f t="shared" si="9"/>
        <v>4540</v>
      </c>
      <c r="U39" s="323">
        <f t="shared" si="10"/>
        <v>8.407407407407407</v>
      </c>
      <c r="V39" s="137"/>
      <c r="W39" s="55">
        <f t="shared" si="11"/>
        <v>9</v>
      </c>
      <c r="X39" s="167">
        <f t="shared" si="12"/>
        <v>38</v>
      </c>
    </row>
    <row r="40" spans="1:24" s="159" customFormat="1" ht="12.75">
      <c r="A40" s="445" t="s">
        <v>310</v>
      </c>
      <c r="B40" s="110">
        <v>1946</v>
      </c>
      <c r="C40" s="424" t="s">
        <v>286</v>
      </c>
      <c r="D40" s="104" t="s">
        <v>287</v>
      </c>
      <c r="E40" s="193">
        <v>0</v>
      </c>
      <c r="F40" s="184">
        <v>506</v>
      </c>
      <c r="G40" s="184">
        <v>503</v>
      </c>
      <c r="H40" s="184">
        <v>517</v>
      </c>
      <c r="I40" s="184">
        <v>0</v>
      </c>
      <c r="J40" s="184">
        <v>0</v>
      </c>
      <c r="K40" s="184">
        <v>0</v>
      </c>
      <c r="L40" s="184">
        <v>490</v>
      </c>
      <c r="M40" s="184">
        <v>509</v>
      </c>
      <c r="N40" s="184">
        <v>0</v>
      </c>
      <c r="O40" s="184">
        <v>503</v>
      </c>
      <c r="P40" s="184">
        <v>0</v>
      </c>
      <c r="Q40" s="357">
        <v>512</v>
      </c>
      <c r="R40" s="193">
        <f t="shared" si="7"/>
        <v>3050</v>
      </c>
      <c r="S40" s="185">
        <f t="shared" si="8"/>
        <v>12</v>
      </c>
      <c r="T40" s="214">
        <f t="shared" si="9"/>
        <v>3540</v>
      </c>
      <c r="U40" s="323">
        <f t="shared" si="10"/>
        <v>8.428571428571429</v>
      </c>
      <c r="V40" s="137"/>
      <c r="W40" s="55">
        <f t="shared" si="11"/>
        <v>7</v>
      </c>
      <c r="X40" s="167">
        <f t="shared" si="12"/>
        <v>49</v>
      </c>
    </row>
    <row r="41" spans="1:24" s="159" customFormat="1" ht="12.75">
      <c r="A41" s="447" t="s">
        <v>159</v>
      </c>
      <c r="B41" s="110">
        <v>1972</v>
      </c>
      <c r="C41" s="446" t="s">
        <v>149</v>
      </c>
      <c r="D41" s="104" t="s">
        <v>152</v>
      </c>
      <c r="E41" s="193">
        <v>524</v>
      </c>
      <c r="F41" s="184">
        <v>518</v>
      </c>
      <c r="G41" s="184">
        <v>0</v>
      </c>
      <c r="H41" s="184">
        <v>531</v>
      </c>
      <c r="I41" s="184">
        <v>0</v>
      </c>
      <c r="J41" s="184">
        <v>0</v>
      </c>
      <c r="K41" s="184">
        <v>0</v>
      </c>
      <c r="L41" s="184">
        <v>546</v>
      </c>
      <c r="M41" s="184">
        <v>522</v>
      </c>
      <c r="N41" s="184">
        <v>0</v>
      </c>
      <c r="O41" s="184">
        <v>500</v>
      </c>
      <c r="P41" s="184">
        <v>0</v>
      </c>
      <c r="Q41" s="357">
        <v>397</v>
      </c>
      <c r="R41" s="193">
        <f t="shared" si="7"/>
        <v>3038</v>
      </c>
      <c r="S41" s="185">
        <f t="shared" si="8"/>
        <v>13</v>
      </c>
      <c r="T41" s="214">
        <f t="shared" si="9"/>
        <v>3538</v>
      </c>
      <c r="U41" s="323">
        <f t="shared" si="10"/>
        <v>8.423809523809524</v>
      </c>
      <c r="V41" s="137"/>
      <c r="W41" s="55">
        <f t="shared" si="11"/>
        <v>7</v>
      </c>
      <c r="X41" s="167">
        <f t="shared" si="12"/>
        <v>12</v>
      </c>
    </row>
    <row r="42" spans="1:24" s="159" customFormat="1" ht="12.75">
      <c r="A42" s="216" t="s">
        <v>96</v>
      </c>
      <c r="B42" s="55">
        <v>1992</v>
      </c>
      <c r="C42" s="425">
        <v>35409</v>
      </c>
      <c r="D42" s="217" t="s">
        <v>98</v>
      </c>
      <c r="E42" s="193">
        <v>0</v>
      </c>
      <c r="F42" s="184">
        <v>514</v>
      </c>
      <c r="G42" s="184">
        <v>0</v>
      </c>
      <c r="H42" s="184">
        <v>510</v>
      </c>
      <c r="I42" s="184">
        <v>534</v>
      </c>
      <c r="J42" s="184">
        <v>0</v>
      </c>
      <c r="K42" s="184">
        <v>548</v>
      </c>
      <c r="L42" s="184">
        <v>545</v>
      </c>
      <c r="M42" s="184">
        <v>0</v>
      </c>
      <c r="N42" s="184">
        <v>0</v>
      </c>
      <c r="O42" s="184">
        <v>547</v>
      </c>
      <c r="P42" s="184">
        <v>0</v>
      </c>
      <c r="Q42" s="357">
        <v>0</v>
      </c>
      <c r="R42" s="193">
        <f t="shared" si="7"/>
        <v>2688</v>
      </c>
      <c r="S42" s="185">
        <f t="shared" si="8"/>
        <v>14</v>
      </c>
      <c r="T42" s="214">
        <f t="shared" si="9"/>
        <v>3198</v>
      </c>
      <c r="U42" s="323">
        <f t="shared" si="10"/>
        <v>8.883333333333333</v>
      </c>
      <c r="V42" s="137"/>
      <c r="W42" s="55">
        <f t="shared" si="11"/>
        <v>6</v>
      </c>
      <c r="X42" s="167">
        <f t="shared" si="12"/>
        <v>350</v>
      </c>
    </row>
    <row r="43" spans="1:24" s="159" customFormat="1" ht="12.75">
      <c r="A43" s="445" t="s">
        <v>50</v>
      </c>
      <c r="B43" s="110">
        <v>1977</v>
      </c>
      <c r="C43" s="446">
        <v>31241</v>
      </c>
      <c r="D43" s="433" t="s">
        <v>97</v>
      </c>
      <c r="E43" s="193">
        <v>0</v>
      </c>
      <c r="F43" s="184">
        <v>0</v>
      </c>
      <c r="G43" s="184">
        <v>522</v>
      </c>
      <c r="H43" s="184">
        <v>515</v>
      </c>
      <c r="I43" s="184">
        <v>509</v>
      </c>
      <c r="J43" s="184">
        <v>501</v>
      </c>
      <c r="K43" s="184">
        <v>509</v>
      </c>
      <c r="L43" s="184">
        <v>0</v>
      </c>
      <c r="M43" s="184">
        <v>510</v>
      </c>
      <c r="N43" s="184">
        <v>0</v>
      </c>
      <c r="O43" s="184">
        <v>0</v>
      </c>
      <c r="P43" s="184">
        <v>0</v>
      </c>
      <c r="Q43" s="357">
        <v>0</v>
      </c>
      <c r="R43" s="193">
        <f t="shared" si="7"/>
        <v>2565</v>
      </c>
      <c r="S43" s="185">
        <f t="shared" si="8"/>
        <v>15</v>
      </c>
      <c r="T43" s="214">
        <f t="shared" si="9"/>
        <v>3066</v>
      </c>
      <c r="U43" s="323">
        <f t="shared" si="10"/>
        <v>8.516666666666667</v>
      </c>
      <c r="V43" s="137"/>
      <c r="W43" s="55">
        <f t="shared" si="11"/>
        <v>6</v>
      </c>
      <c r="X43" s="167">
        <f t="shared" si="12"/>
        <v>123</v>
      </c>
    </row>
    <row r="44" spans="1:24" s="159" customFormat="1" ht="15" customHeight="1">
      <c r="A44" s="216" t="s">
        <v>57</v>
      </c>
      <c r="B44" s="55">
        <v>1952</v>
      </c>
      <c r="C44" s="425" t="s">
        <v>83</v>
      </c>
      <c r="D44" s="217" t="s">
        <v>60</v>
      </c>
      <c r="E44" s="193">
        <v>519</v>
      </c>
      <c r="F44" s="184">
        <v>517</v>
      </c>
      <c r="G44" s="184">
        <v>0</v>
      </c>
      <c r="H44" s="184">
        <v>511</v>
      </c>
      <c r="I44" s="184">
        <v>0</v>
      </c>
      <c r="J44" s="184">
        <v>0</v>
      </c>
      <c r="K44" s="184">
        <v>0</v>
      </c>
      <c r="L44" s="184">
        <v>0</v>
      </c>
      <c r="M44" s="184">
        <v>0</v>
      </c>
      <c r="N44" s="184">
        <v>0</v>
      </c>
      <c r="O44" s="184">
        <v>536</v>
      </c>
      <c r="P44" s="184">
        <v>0</v>
      </c>
      <c r="Q44" s="357">
        <v>0</v>
      </c>
      <c r="R44" s="193">
        <f t="shared" si="7"/>
        <v>2083</v>
      </c>
      <c r="S44" s="185">
        <f t="shared" si="8"/>
        <v>16</v>
      </c>
      <c r="T44" s="214">
        <f t="shared" si="9"/>
        <v>2083</v>
      </c>
      <c r="U44" s="323">
        <f t="shared" si="10"/>
        <v>8.679166666666667</v>
      </c>
      <c r="V44" s="137"/>
      <c r="W44" s="55">
        <f t="shared" si="11"/>
        <v>4</v>
      </c>
      <c r="X44" s="167">
        <f t="shared" si="12"/>
        <v>482</v>
      </c>
    </row>
    <row r="45" spans="1:24" s="159" customFormat="1" ht="12.75">
      <c r="A45" s="216" t="s">
        <v>412</v>
      </c>
      <c r="B45" s="55">
        <v>1959</v>
      </c>
      <c r="C45" s="448" t="s">
        <v>414</v>
      </c>
      <c r="D45" s="80" t="s">
        <v>413</v>
      </c>
      <c r="E45" s="193">
        <v>0</v>
      </c>
      <c r="F45" s="184">
        <v>0</v>
      </c>
      <c r="G45" s="184">
        <v>476</v>
      </c>
      <c r="H45" s="184">
        <v>0</v>
      </c>
      <c r="I45" s="184">
        <v>0</v>
      </c>
      <c r="J45" s="184">
        <v>484</v>
      </c>
      <c r="K45" s="184">
        <v>0</v>
      </c>
      <c r="L45" s="184">
        <v>0</v>
      </c>
      <c r="M45" s="184">
        <v>509</v>
      </c>
      <c r="N45" s="184">
        <v>0</v>
      </c>
      <c r="O45" s="184">
        <v>511</v>
      </c>
      <c r="P45" s="184">
        <v>0</v>
      </c>
      <c r="Q45" s="357">
        <v>0</v>
      </c>
      <c r="R45" s="193">
        <f t="shared" si="7"/>
        <v>1980</v>
      </c>
      <c r="S45" s="185">
        <f t="shared" si="8"/>
        <v>17</v>
      </c>
      <c r="T45" s="214">
        <f t="shared" si="9"/>
        <v>1980</v>
      </c>
      <c r="U45" s="323">
        <f t="shared" si="10"/>
        <v>8.25</v>
      </c>
      <c r="V45" s="137"/>
      <c r="W45" s="55">
        <f t="shared" si="11"/>
        <v>4</v>
      </c>
      <c r="X45" s="167">
        <f t="shared" si="12"/>
        <v>103</v>
      </c>
    </row>
    <row r="46" spans="1:24" s="159" customFormat="1" ht="12.75">
      <c r="A46" s="216" t="s">
        <v>108</v>
      </c>
      <c r="B46" s="55">
        <v>1965</v>
      </c>
      <c r="C46" s="425" t="s">
        <v>142</v>
      </c>
      <c r="D46" s="217" t="s">
        <v>55</v>
      </c>
      <c r="E46" s="193">
        <v>0</v>
      </c>
      <c r="F46" s="184">
        <v>546</v>
      </c>
      <c r="G46" s="184">
        <v>0</v>
      </c>
      <c r="H46" s="184">
        <v>0</v>
      </c>
      <c r="I46" s="184">
        <v>0</v>
      </c>
      <c r="J46" s="184">
        <v>545</v>
      </c>
      <c r="K46" s="184">
        <v>0</v>
      </c>
      <c r="L46" s="184">
        <v>548</v>
      </c>
      <c r="M46" s="184">
        <v>0</v>
      </c>
      <c r="N46" s="184">
        <v>0</v>
      </c>
      <c r="O46" s="184">
        <v>0</v>
      </c>
      <c r="P46" s="184">
        <v>0</v>
      </c>
      <c r="Q46" s="357">
        <v>0</v>
      </c>
      <c r="R46" s="193">
        <f t="shared" si="7"/>
        <v>1639</v>
      </c>
      <c r="S46" s="185">
        <f t="shared" si="8"/>
        <v>18</v>
      </c>
      <c r="T46" s="214">
        <f t="shared" si="9"/>
        <v>1639</v>
      </c>
      <c r="U46" s="323">
        <f t="shared" si="10"/>
        <v>9.105555555555556</v>
      </c>
      <c r="V46" s="137"/>
      <c r="W46" s="55">
        <f t="shared" si="11"/>
        <v>3</v>
      </c>
      <c r="X46" s="167">
        <f t="shared" si="12"/>
        <v>341</v>
      </c>
    </row>
    <row r="47" spans="1:24" s="159" customFormat="1" ht="12.75">
      <c r="A47" s="445" t="s">
        <v>281</v>
      </c>
      <c r="B47" s="110">
        <v>1964</v>
      </c>
      <c r="C47" s="424" t="s">
        <v>282</v>
      </c>
      <c r="D47" s="104" t="s">
        <v>283</v>
      </c>
      <c r="E47" s="193">
        <v>546</v>
      </c>
      <c r="F47" s="184">
        <v>541</v>
      </c>
      <c r="G47" s="184">
        <v>0</v>
      </c>
      <c r="H47" s="184">
        <v>0</v>
      </c>
      <c r="I47" s="184">
        <v>0</v>
      </c>
      <c r="J47" s="184">
        <v>543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0</v>
      </c>
      <c r="Q47" s="357">
        <v>0</v>
      </c>
      <c r="R47" s="193">
        <f t="shared" si="7"/>
        <v>1630</v>
      </c>
      <c r="S47" s="185">
        <f t="shared" si="8"/>
        <v>19</v>
      </c>
      <c r="T47" s="214">
        <f t="shared" si="9"/>
        <v>1630</v>
      </c>
      <c r="U47" s="323">
        <f t="shared" si="10"/>
        <v>9.055555555555555</v>
      </c>
      <c r="V47" s="137"/>
      <c r="W47" s="55">
        <f t="shared" si="11"/>
        <v>3</v>
      </c>
      <c r="X47" s="167">
        <f t="shared" si="12"/>
        <v>9</v>
      </c>
    </row>
    <row r="48" spans="1:24" s="159" customFormat="1" ht="12.75">
      <c r="A48" s="216" t="s">
        <v>141</v>
      </c>
      <c r="B48" s="55">
        <v>1949</v>
      </c>
      <c r="C48" s="425" t="s">
        <v>267</v>
      </c>
      <c r="D48" s="217" t="s">
        <v>55</v>
      </c>
      <c r="E48" s="193">
        <v>519</v>
      </c>
      <c r="F48" s="184">
        <v>526</v>
      </c>
      <c r="G48" s="184">
        <v>0</v>
      </c>
      <c r="H48" s="184">
        <v>0</v>
      </c>
      <c r="I48" s="184">
        <v>0</v>
      </c>
      <c r="J48" s="184">
        <v>0</v>
      </c>
      <c r="K48" s="184">
        <v>0</v>
      </c>
      <c r="L48" s="184">
        <v>516</v>
      </c>
      <c r="M48" s="184">
        <v>0</v>
      </c>
      <c r="N48" s="184">
        <v>0</v>
      </c>
      <c r="O48" s="184">
        <v>0</v>
      </c>
      <c r="P48" s="184">
        <v>0</v>
      </c>
      <c r="Q48" s="357">
        <v>0</v>
      </c>
      <c r="R48" s="193">
        <f t="shared" si="7"/>
        <v>1561</v>
      </c>
      <c r="S48" s="185">
        <f t="shared" si="8"/>
        <v>20</v>
      </c>
      <c r="T48" s="214">
        <f t="shared" si="9"/>
        <v>1561</v>
      </c>
      <c r="U48" s="323">
        <f t="shared" si="10"/>
        <v>8.672222222222222</v>
      </c>
      <c r="V48" s="137"/>
      <c r="W48" s="55">
        <f t="shared" si="11"/>
        <v>3</v>
      </c>
      <c r="X48" s="167">
        <f t="shared" si="12"/>
        <v>69</v>
      </c>
    </row>
    <row r="49" spans="1:24" s="159" customFormat="1" ht="12.75">
      <c r="A49" s="216" t="s">
        <v>59</v>
      </c>
      <c r="B49" s="55">
        <v>1956</v>
      </c>
      <c r="C49" s="425" t="s">
        <v>416</v>
      </c>
      <c r="D49" s="217" t="s">
        <v>426</v>
      </c>
      <c r="E49" s="193">
        <v>0</v>
      </c>
      <c r="F49" s="184">
        <v>0</v>
      </c>
      <c r="G49" s="184">
        <v>540</v>
      </c>
      <c r="H49" s="184">
        <v>528</v>
      </c>
      <c r="I49" s="184">
        <v>0</v>
      </c>
      <c r="J49" s="184">
        <v>0</v>
      </c>
      <c r="K49" s="184">
        <v>0</v>
      </c>
      <c r="L49" s="184">
        <v>0</v>
      </c>
      <c r="M49" s="184">
        <v>0</v>
      </c>
      <c r="N49" s="184">
        <v>0</v>
      </c>
      <c r="O49" s="184">
        <v>0</v>
      </c>
      <c r="P49" s="184">
        <v>0</v>
      </c>
      <c r="Q49" s="357">
        <v>0</v>
      </c>
      <c r="R49" s="193">
        <f t="shared" si="7"/>
        <v>1068</v>
      </c>
      <c r="S49" s="185">
        <f t="shared" si="8"/>
        <v>21</v>
      </c>
      <c r="T49" s="214">
        <f t="shared" si="9"/>
        <v>1068</v>
      </c>
      <c r="U49" s="323">
        <f t="shared" si="10"/>
        <v>8.9</v>
      </c>
      <c r="V49" s="137"/>
      <c r="W49" s="55">
        <f t="shared" si="11"/>
        <v>2</v>
      </c>
      <c r="X49" s="167">
        <f t="shared" si="12"/>
        <v>493</v>
      </c>
    </row>
    <row r="50" spans="1:24" s="159" customFormat="1" ht="12.75">
      <c r="A50" s="216" t="s">
        <v>316</v>
      </c>
      <c r="B50" s="55">
        <v>1956</v>
      </c>
      <c r="C50" s="425">
        <v>32183</v>
      </c>
      <c r="D50" s="217" t="s">
        <v>415</v>
      </c>
      <c r="E50" s="193">
        <v>0</v>
      </c>
      <c r="F50" s="184">
        <v>0</v>
      </c>
      <c r="G50" s="184">
        <v>521</v>
      </c>
      <c r="H50" s="184">
        <v>513</v>
      </c>
      <c r="I50" s="184">
        <v>0</v>
      </c>
      <c r="J50" s="184">
        <v>0</v>
      </c>
      <c r="K50" s="184">
        <v>0</v>
      </c>
      <c r="L50" s="184">
        <v>0</v>
      </c>
      <c r="M50" s="184">
        <v>0</v>
      </c>
      <c r="N50" s="184">
        <v>0</v>
      </c>
      <c r="O50" s="184">
        <v>0</v>
      </c>
      <c r="P50" s="184">
        <v>0</v>
      </c>
      <c r="Q50" s="357">
        <v>0</v>
      </c>
      <c r="R50" s="193">
        <f t="shared" si="7"/>
        <v>1034</v>
      </c>
      <c r="S50" s="185">
        <f t="shared" si="8"/>
        <v>22</v>
      </c>
      <c r="T50" s="214">
        <f t="shared" si="9"/>
        <v>1034</v>
      </c>
      <c r="U50" s="323">
        <f t="shared" si="10"/>
        <v>8.616666666666667</v>
      </c>
      <c r="V50" s="137"/>
      <c r="W50" s="55">
        <f>COUNTIF(E50:Q50,"&gt;0")</f>
        <v>2</v>
      </c>
      <c r="X50" s="167">
        <f>R49-R50</f>
        <v>34</v>
      </c>
    </row>
    <row r="51" spans="1:24" s="159" customFormat="1" ht="12.75">
      <c r="A51" s="445" t="s">
        <v>315</v>
      </c>
      <c r="B51" s="110">
        <v>1984</v>
      </c>
      <c r="C51" s="446">
        <v>33239</v>
      </c>
      <c r="D51" s="217" t="s">
        <v>415</v>
      </c>
      <c r="E51" s="193">
        <v>0</v>
      </c>
      <c r="F51" s="184">
        <v>0</v>
      </c>
      <c r="G51" s="184">
        <v>0</v>
      </c>
      <c r="H51" s="184">
        <v>561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0</v>
      </c>
      <c r="Q51" s="357">
        <v>0</v>
      </c>
      <c r="R51" s="193">
        <f t="shared" si="7"/>
        <v>561</v>
      </c>
      <c r="S51" s="185">
        <f t="shared" si="8"/>
        <v>23</v>
      </c>
      <c r="T51" s="214">
        <f t="shared" si="9"/>
        <v>561</v>
      </c>
      <c r="U51" s="323">
        <f t="shared" si="10"/>
        <v>9.35</v>
      </c>
      <c r="V51" s="137"/>
      <c r="W51" s="55">
        <f t="shared" si="11"/>
        <v>1</v>
      </c>
      <c r="X51" s="167">
        <f t="shared" si="12"/>
        <v>473</v>
      </c>
    </row>
    <row r="52" spans="1:24" s="159" customFormat="1" ht="12.75">
      <c r="A52" s="445" t="s">
        <v>288</v>
      </c>
      <c r="B52" s="110">
        <v>1949</v>
      </c>
      <c r="C52" s="424" t="s">
        <v>313</v>
      </c>
      <c r="D52" s="104" t="s">
        <v>287</v>
      </c>
      <c r="E52" s="193">
        <v>0</v>
      </c>
      <c r="F52" s="184">
        <v>0</v>
      </c>
      <c r="G52" s="184">
        <v>0</v>
      </c>
      <c r="H52" s="184">
        <v>0</v>
      </c>
      <c r="I52" s="184">
        <v>0</v>
      </c>
      <c r="J52" s="184">
        <v>0</v>
      </c>
      <c r="K52" s="184">
        <v>0</v>
      </c>
      <c r="L52" s="184">
        <v>0</v>
      </c>
      <c r="M52" s="184">
        <v>0</v>
      </c>
      <c r="N52" s="184">
        <v>0</v>
      </c>
      <c r="O52" s="184">
        <v>0</v>
      </c>
      <c r="P52" s="184">
        <v>0</v>
      </c>
      <c r="Q52" s="357">
        <v>536</v>
      </c>
      <c r="R52" s="193">
        <f t="shared" si="7"/>
        <v>536</v>
      </c>
      <c r="S52" s="185">
        <f t="shared" si="8"/>
        <v>24</v>
      </c>
      <c r="T52" s="214">
        <f t="shared" si="9"/>
        <v>536</v>
      </c>
      <c r="U52" s="323">
        <f t="shared" si="10"/>
        <v>8.933333333333334</v>
      </c>
      <c r="V52" s="137"/>
      <c r="W52" s="55">
        <f t="shared" si="11"/>
        <v>1</v>
      </c>
      <c r="X52" s="167">
        <f t="shared" si="12"/>
        <v>25</v>
      </c>
    </row>
    <row r="53" spans="1:24" s="159" customFormat="1" ht="12.75">
      <c r="A53" s="216" t="s">
        <v>311</v>
      </c>
      <c r="B53" s="55">
        <v>1949</v>
      </c>
      <c r="C53" s="425" t="s">
        <v>154</v>
      </c>
      <c r="D53" s="217" t="s">
        <v>155</v>
      </c>
      <c r="E53" s="193">
        <v>0</v>
      </c>
      <c r="F53" s="184">
        <v>530</v>
      </c>
      <c r="G53" s="184">
        <v>0</v>
      </c>
      <c r="H53" s="184">
        <v>0</v>
      </c>
      <c r="I53" s="184">
        <v>0</v>
      </c>
      <c r="J53" s="184">
        <v>0</v>
      </c>
      <c r="K53" s="184">
        <v>0</v>
      </c>
      <c r="L53" s="184">
        <v>0</v>
      </c>
      <c r="M53" s="184">
        <v>0</v>
      </c>
      <c r="N53" s="184">
        <v>0</v>
      </c>
      <c r="O53" s="184">
        <v>0</v>
      </c>
      <c r="P53" s="184">
        <v>0</v>
      </c>
      <c r="Q53" s="357">
        <v>0</v>
      </c>
      <c r="R53" s="193">
        <f t="shared" si="7"/>
        <v>530</v>
      </c>
      <c r="S53" s="185">
        <f t="shared" si="8"/>
        <v>25</v>
      </c>
      <c r="T53" s="214">
        <f t="shared" si="9"/>
        <v>530</v>
      </c>
      <c r="U53" s="323">
        <f t="shared" si="10"/>
        <v>8.833333333333334</v>
      </c>
      <c r="V53" s="137"/>
      <c r="W53" s="55">
        <f t="shared" si="11"/>
        <v>1</v>
      </c>
      <c r="X53" s="167">
        <f t="shared" si="12"/>
        <v>6</v>
      </c>
    </row>
    <row r="54" spans="1:24" s="159" customFormat="1" ht="12.75" customHeight="1">
      <c r="A54" s="449" t="s">
        <v>263</v>
      </c>
      <c r="B54" s="417">
        <v>1991</v>
      </c>
      <c r="C54" s="448">
        <v>37632</v>
      </c>
      <c r="D54" s="80" t="s">
        <v>264</v>
      </c>
      <c r="E54" s="193">
        <v>0</v>
      </c>
      <c r="F54" s="184">
        <v>0</v>
      </c>
      <c r="G54" s="184">
        <v>0</v>
      </c>
      <c r="H54" s="184">
        <v>0</v>
      </c>
      <c r="I54" s="184">
        <v>0</v>
      </c>
      <c r="J54" s="184">
        <v>513</v>
      </c>
      <c r="K54" s="184">
        <v>0</v>
      </c>
      <c r="L54" s="184">
        <v>0</v>
      </c>
      <c r="M54" s="184">
        <v>0</v>
      </c>
      <c r="N54" s="184">
        <v>0</v>
      </c>
      <c r="O54" s="184">
        <v>0</v>
      </c>
      <c r="P54" s="184">
        <v>0</v>
      </c>
      <c r="Q54" s="357">
        <v>0</v>
      </c>
      <c r="R54" s="193">
        <f t="shared" si="7"/>
        <v>513</v>
      </c>
      <c r="S54" s="185">
        <f t="shared" si="8"/>
        <v>26</v>
      </c>
      <c r="T54" s="214">
        <f t="shared" si="9"/>
        <v>513</v>
      </c>
      <c r="U54" s="323">
        <f t="shared" si="10"/>
        <v>8.55</v>
      </c>
      <c r="V54" s="137"/>
      <c r="W54" s="55">
        <f t="shared" si="11"/>
        <v>1</v>
      </c>
      <c r="X54" s="167">
        <f t="shared" si="12"/>
        <v>17</v>
      </c>
    </row>
    <row r="55" spans="1:24" s="159" customFormat="1" ht="12.75">
      <c r="A55" s="216" t="s">
        <v>393</v>
      </c>
      <c r="B55" s="55">
        <v>1988</v>
      </c>
      <c r="C55" s="426" t="s">
        <v>102</v>
      </c>
      <c r="D55" s="217" t="s">
        <v>283</v>
      </c>
      <c r="E55" s="193">
        <v>0</v>
      </c>
      <c r="F55" s="184">
        <v>504</v>
      </c>
      <c r="G55" s="184">
        <v>0</v>
      </c>
      <c r="H55" s="184">
        <v>0</v>
      </c>
      <c r="I55" s="184">
        <v>0</v>
      </c>
      <c r="J55" s="184">
        <v>0</v>
      </c>
      <c r="K55" s="184">
        <v>0</v>
      </c>
      <c r="L55" s="184">
        <v>0</v>
      </c>
      <c r="M55" s="184">
        <v>0</v>
      </c>
      <c r="N55" s="184">
        <v>0</v>
      </c>
      <c r="O55" s="184">
        <v>0</v>
      </c>
      <c r="P55" s="184">
        <v>0</v>
      </c>
      <c r="Q55" s="357">
        <v>0</v>
      </c>
      <c r="R55" s="193">
        <f t="shared" si="7"/>
        <v>504</v>
      </c>
      <c r="S55" s="185">
        <f t="shared" si="8"/>
        <v>27</v>
      </c>
      <c r="T55" s="214">
        <f t="shared" si="9"/>
        <v>504</v>
      </c>
      <c r="U55" s="323">
        <f t="shared" si="10"/>
        <v>8.4</v>
      </c>
      <c r="V55" s="137"/>
      <c r="W55" s="55">
        <f t="shared" si="11"/>
        <v>1</v>
      </c>
      <c r="X55" s="167">
        <f t="shared" si="12"/>
        <v>9</v>
      </c>
    </row>
    <row r="56" spans="1:24" s="159" customFormat="1" ht="12.75">
      <c r="A56" s="435" t="s">
        <v>268</v>
      </c>
      <c r="B56" s="433">
        <v>1974</v>
      </c>
      <c r="C56" s="420">
        <v>38396</v>
      </c>
      <c r="D56" s="433" t="s">
        <v>97</v>
      </c>
      <c r="E56" s="193">
        <v>0</v>
      </c>
      <c r="F56" s="184">
        <v>0</v>
      </c>
      <c r="G56" s="184">
        <v>0</v>
      </c>
      <c r="H56" s="184">
        <v>0</v>
      </c>
      <c r="I56" s="184">
        <v>0</v>
      </c>
      <c r="J56" s="184">
        <v>0</v>
      </c>
      <c r="K56" s="184">
        <v>0</v>
      </c>
      <c r="L56" s="184">
        <v>0</v>
      </c>
      <c r="M56" s="184">
        <v>0</v>
      </c>
      <c r="N56" s="184">
        <v>0</v>
      </c>
      <c r="O56" s="184">
        <v>0</v>
      </c>
      <c r="P56" s="184">
        <v>0</v>
      </c>
      <c r="Q56" s="357">
        <v>0</v>
      </c>
      <c r="R56" s="193">
        <f t="shared" si="7"/>
        <v>0</v>
      </c>
      <c r="S56" s="185">
        <f t="shared" si="8"/>
        <v>28</v>
      </c>
      <c r="T56" s="214">
        <f t="shared" si="9"/>
        <v>0</v>
      </c>
      <c r="U56" s="323" t="e">
        <f t="shared" si="10"/>
        <v>#DIV/0!</v>
      </c>
      <c r="V56" s="137"/>
      <c r="W56" s="55">
        <f t="shared" si="11"/>
        <v>0</v>
      </c>
      <c r="X56" s="167">
        <f t="shared" si="12"/>
        <v>504</v>
      </c>
    </row>
    <row r="57" spans="1:24" s="159" customFormat="1" ht="12.75">
      <c r="A57" s="216"/>
      <c r="B57" s="55"/>
      <c r="C57" s="425"/>
      <c r="D57" s="104"/>
      <c r="E57" s="193">
        <v>0</v>
      </c>
      <c r="F57" s="193">
        <v>0</v>
      </c>
      <c r="G57" s="193">
        <v>0</v>
      </c>
      <c r="H57" s="193">
        <v>0</v>
      </c>
      <c r="I57" s="193">
        <v>0</v>
      </c>
      <c r="J57" s="193">
        <v>0</v>
      </c>
      <c r="K57" s="193">
        <v>0</v>
      </c>
      <c r="L57" s="184">
        <v>0</v>
      </c>
      <c r="M57" s="184">
        <v>0</v>
      </c>
      <c r="N57" s="184">
        <v>0</v>
      </c>
      <c r="O57" s="184">
        <v>0</v>
      </c>
      <c r="P57" s="184">
        <v>0</v>
      </c>
      <c r="Q57" s="357">
        <v>0</v>
      </c>
      <c r="R57" s="193">
        <f t="shared" si="7"/>
        <v>0</v>
      </c>
      <c r="S57" s="185">
        <f t="shared" si="8"/>
        <v>28</v>
      </c>
      <c r="T57" s="214">
        <f t="shared" si="9"/>
        <v>0</v>
      </c>
      <c r="U57" s="323" t="e">
        <f t="shared" si="10"/>
        <v>#DIV/0!</v>
      </c>
      <c r="V57" s="137"/>
      <c r="W57" s="55">
        <f>COUNTIF(E57:Q57,"&gt;0")</f>
        <v>0</v>
      </c>
      <c r="X57" s="167">
        <f t="shared" si="12"/>
        <v>0</v>
      </c>
    </row>
    <row r="58" spans="1:24" s="159" customFormat="1" ht="12.75">
      <c r="A58" s="447"/>
      <c r="B58" s="110"/>
      <c r="C58" s="446"/>
      <c r="D58" s="104"/>
      <c r="E58" s="193">
        <v>0</v>
      </c>
      <c r="F58" s="193">
        <v>0</v>
      </c>
      <c r="G58" s="193">
        <v>0</v>
      </c>
      <c r="H58" s="193">
        <v>0</v>
      </c>
      <c r="I58" s="193">
        <v>0</v>
      </c>
      <c r="J58" s="193">
        <v>0</v>
      </c>
      <c r="K58" s="193">
        <v>0</v>
      </c>
      <c r="L58" s="184">
        <v>0</v>
      </c>
      <c r="M58" s="184">
        <v>0</v>
      </c>
      <c r="N58" s="184">
        <v>0</v>
      </c>
      <c r="O58" s="184">
        <v>0</v>
      </c>
      <c r="P58" s="184">
        <v>0</v>
      </c>
      <c r="Q58" s="357">
        <v>0</v>
      </c>
      <c r="R58" s="193">
        <f t="shared" si="7"/>
        <v>0</v>
      </c>
      <c r="S58" s="185">
        <f t="shared" si="8"/>
        <v>28</v>
      </c>
      <c r="T58" s="214">
        <f t="shared" si="9"/>
        <v>0</v>
      </c>
      <c r="U58" s="323" t="e">
        <f t="shared" si="10"/>
        <v>#DIV/0!</v>
      </c>
      <c r="V58" s="137"/>
      <c r="W58" s="55">
        <f aca="true" t="shared" si="13" ref="W58:W63">COUNTIF(E58:Q58,"&gt;0")</f>
        <v>0</v>
      </c>
      <c r="X58" s="167">
        <f t="shared" si="12"/>
        <v>0</v>
      </c>
    </row>
    <row r="59" spans="1:24" s="159" customFormat="1" ht="12.75">
      <c r="A59" s="447"/>
      <c r="B59" s="110"/>
      <c r="C59" s="424"/>
      <c r="D59" s="104"/>
      <c r="E59" s="193">
        <v>0</v>
      </c>
      <c r="F59" s="193">
        <v>0</v>
      </c>
      <c r="G59" s="193">
        <v>0</v>
      </c>
      <c r="H59" s="193">
        <v>0</v>
      </c>
      <c r="I59" s="193">
        <v>0</v>
      </c>
      <c r="J59" s="193">
        <v>0</v>
      </c>
      <c r="K59" s="193">
        <v>0</v>
      </c>
      <c r="L59" s="184">
        <v>0</v>
      </c>
      <c r="M59" s="184">
        <v>0</v>
      </c>
      <c r="N59" s="184">
        <v>0</v>
      </c>
      <c r="O59" s="184">
        <v>0</v>
      </c>
      <c r="P59" s="184">
        <v>0</v>
      </c>
      <c r="Q59" s="357">
        <v>0</v>
      </c>
      <c r="R59" s="193">
        <f t="shared" si="7"/>
        <v>0</v>
      </c>
      <c r="S59" s="185">
        <f t="shared" si="8"/>
        <v>28</v>
      </c>
      <c r="T59" s="214">
        <f t="shared" si="9"/>
        <v>0</v>
      </c>
      <c r="U59" s="323" t="e">
        <f t="shared" si="10"/>
        <v>#DIV/0!</v>
      </c>
      <c r="V59" s="137"/>
      <c r="W59" s="55">
        <f t="shared" si="13"/>
        <v>0</v>
      </c>
      <c r="X59" s="167">
        <f t="shared" si="12"/>
        <v>0</v>
      </c>
    </row>
    <row r="60" spans="1:24" s="159" customFormat="1" ht="12.75">
      <c r="A60" s="216"/>
      <c r="B60" s="55"/>
      <c r="C60" s="425"/>
      <c r="D60" s="217"/>
      <c r="E60" s="193">
        <v>0</v>
      </c>
      <c r="F60" s="193">
        <v>0</v>
      </c>
      <c r="G60" s="193">
        <v>0</v>
      </c>
      <c r="H60" s="193">
        <v>0</v>
      </c>
      <c r="I60" s="193">
        <v>0</v>
      </c>
      <c r="J60" s="193">
        <v>0</v>
      </c>
      <c r="K60" s="193">
        <v>0</v>
      </c>
      <c r="L60" s="184">
        <v>0</v>
      </c>
      <c r="M60" s="184">
        <v>0</v>
      </c>
      <c r="N60" s="184">
        <v>0</v>
      </c>
      <c r="O60" s="184">
        <v>0</v>
      </c>
      <c r="P60" s="184">
        <v>0</v>
      </c>
      <c r="Q60" s="357">
        <v>0</v>
      </c>
      <c r="R60" s="193">
        <f t="shared" si="7"/>
        <v>0</v>
      </c>
      <c r="S60" s="185">
        <f t="shared" si="8"/>
        <v>28</v>
      </c>
      <c r="T60" s="214">
        <f t="shared" si="9"/>
        <v>0</v>
      </c>
      <c r="U60" s="323" t="e">
        <f t="shared" si="10"/>
        <v>#DIV/0!</v>
      </c>
      <c r="V60" s="137"/>
      <c r="W60" s="55">
        <f t="shared" si="13"/>
        <v>0</v>
      </c>
      <c r="X60" s="167">
        <f t="shared" si="12"/>
        <v>0</v>
      </c>
    </row>
    <row r="61" spans="1:24" s="159" customFormat="1" ht="12.75">
      <c r="A61" s="216"/>
      <c r="B61" s="55"/>
      <c r="C61" s="425"/>
      <c r="D61" s="217"/>
      <c r="E61" s="193">
        <v>0</v>
      </c>
      <c r="F61" s="193">
        <v>0</v>
      </c>
      <c r="G61" s="193">
        <v>0</v>
      </c>
      <c r="H61" s="193">
        <v>0</v>
      </c>
      <c r="I61" s="193">
        <v>0</v>
      </c>
      <c r="J61" s="193">
        <v>0</v>
      </c>
      <c r="K61" s="193">
        <v>0</v>
      </c>
      <c r="L61" s="184">
        <v>0</v>
      </c>
      <c r="M61" s="184">
        <v>0</v>
      </c>
      <c r="N61" s="184">
        <v>0</v>
      </c>
      <c r="O61" s="184">
        <v>0</v>
      </c>
      <c r="P61" s="184">
        <v>0</v>
      </c>
      <c r="Q61" s="357">
        <v>0</v>
      </c>
      <c r="R61" s="193">
        <f t="shared" si="7"/>
        <v>0</v>
      </c>
      <c r="S61" s="185">
        <f t="shared" si="8"/>
        <v>28</v>
      </c>
      <c r="T61" s="214">
        <f t="shared" si="9"/>
        <v>0</v>
      </c>
      <c r="U61" s="323" t="e">
        <f t="shared" si="10"/>
        <v>#DIV/0!</v>
      </c>
      <c r="V61" s="137"/>
      <c r="W61" s="55">
        <f t="shared" si="13"/>
        <v>0</v>
      </c>
      <c r="X61" s="167">
        <f t="shared" si="12"/>
        <v>0</v>
      </c>
    </row>
    <row r="62" spans="1:24" s="159" customFormat="1" ht="12.75">
      <c r="A62" s="447"/>
      <c r="B62" s="110"/>
      <c r="C62" s="424"/>
      <c r="D62" s="104"/>
      <c r="E62" s="193">
        <v>0</v>
      </c>
      <c r="F62" s="193">
        <v>0</v>
      </c>
      <c r="G62" s="193">
        <v>0</v>
      </c>
      <c r="H62" s="193">
        <v>0</v>
      </c>
      <c r="I62" s="193">
        <v>0</v>
      </c>
      <c r="J62" s="193">
        <v>0</v>
      </c>
      <c r="K62" s="193">
        <v>0</v>
      </c>
      <c r="L62" s="184">
        <v>0</v>
      </c>
      <c r="M62" s="184">
        <v>0</v>
      </c>
      <c r="N62" s="184">
        <v>0</v>
      </c>
      <c r="O62" s="184">
        <v>0</v>
      </c>
      <c r="P62" s="184">
        <v>0</v>
      </c>
      <c r="Q62" s="357">
        <v>0</v>
      </c>
      <c r="R62" s="193">
        <f t="shared" si="7"/>
        <v>0</v>
      </c>
      <c r="S62" s="185">
        <f t="shared" si="8"/>
        <v>28</v>
      </c>
      <c r="T62" s="214">
        <f t="shared" si="9"/>
        <v>0</v>
      </c>
      <c r="U62" s="323" t="e">
        <f t="shared" si="10"/>
        <v>#DIV/0!</v>
      </c>
      <c r="V62" s="137"/>
      <c r="W62" s="55">
        <f t="shared" si="13"/>
        <v>0</v>
      </c>
      <c r="X62" s="167">
        <f t="shared" si="12"/>
        <v>0</v>
      </c>
    </row>
    <row r="63" spans="1:24" s="159" customFormat="1" ht="12.75">
      <c r="A63" s="216"/>
      <c r="B63" s="55"/>
      <c r="C63" s="425"/>
      <c r="D63" s="217"/>
      <c r="E63" s="193">
        <v>0</v>
      </c>
      <c r="F63" s="193">
        <v>0</v>
      </c>
      <c r="G63" s="193">
        <v>0</v>
      </c>
      <c r="H63" s="193">
        <v>0</v>
      </c>
      <c r="I63" s="193">
        <v>0</v>
      </c>
      <c r="J63" s="193">
        <v>0</v>
      </c>
      <c r="K63" s="193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0</v>
      </c>
      <c r="Q63" s="357">
        <v>0</v>
      </c>
      <c r="R63" s="193">
        <f t="shared" si="7"/>
        <v>0</v>
      </c>
      <c r="S63" s="185">
        <f t="shared" si="8"/>
        <v>28</v>
      </c>
      <c r="T63" s="214">
        <f t="shared" si="9"/>
        <v>0</v>
      </c>
      <c r="U63" s="323" t="e">
        <f t="shared" si="10"/>
        <v>#DIV/0!</v>
      </c>
      <c r="V63" s="137"/>
      <c r="W63" s="55">
        <f t="shared" si="13"/>
        <v>0</v>
      </c>
      <c r="X63" s="167">
        <f t="shared" si="12"/>
        <v>0</v>
      </c>
    </row>
    <row r="64" spans="1:24" s="159" customFormat="1" ht="12.75">
      <c r="A64" s="447"/>
      <c r="B64" s="110"/>
      <c r="C64" s="446"/>
      <c r="D64" s="104"/>
      <c r="E64" s="193">
        <v>0</v>
      </c>
      <c r="F64" s="184">
        <v>0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0</v>
      </c>
      <c r="P64" s="184">
        <v>0</v>
      </c>
      <c r="Q64" s="357">
        <v>0</v>
      </c>
      <c r="R64" s="193">
        <f t="shared" si="7"/>
        <v>0</v>
      </c>
      <c r="S64" s="185">
        <f t="shared" si="8"/>
        <v>28</v>
      </c>
      <c r="T64" s="214">
        <f t="shared" si="9"/>
        <v>0</v>
      </c>
      <c r="U64" s="323" t="e">
        <f t="shared" si="10"/>
        <v>#DIV/0!</v>
      </c>
      <c r="V64" s="137"/>
      <c r="W64" s="55">
        <f t="shared" si="11"/>
        <v>0</v>
      </c>
      <c r="X64" s="167">
        <f t="shared" si="12"/>
        <v>0</v>
      </c>
    </row>
    <row r="65" spans="1:24" s="159" customFormat="1" ht="12.75">
      <c r="A65" s="216"/>
      <c r="B65" s="55"/>
      <c r="C65" s="425"/>
      <c r="D65" s="217"/>
      <c r="E65" s="193">
        <v>0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0</v>
      </c>
      <c r="Q65" s="357">
        <v>0</v>
      </c>
      <c r="R65" s="193">
        <f t="shared" si="7"/>
        <v>0</v>
      </c>
      <c r="S65" s="185">
        <f t="shared" si="8"/>
        <v>28</v>
      </c>
      <c r="T65" s="214">
        <f t="shared" si="9"/>
        <v>0</v>
      </c>
      <c r="U65" s="323" t="e">
        <f t="shared" si="10"/>
        <v>#DIV/0!</v>
      </c>
      <c r="V65" s="137"/>
      <c r="W65" s="55">
        <f t="shared" si="11"/>
        <v>0</v>
      </c>
      <c r="X65" s="167">
        <f t="shared" si="12"/>
        <v>0</v>
      </c>
    </row>
    <row r="66" spans="1:24" s="159" customFormat="1" ht="12.75">
      <c r="A66" s="216"/>
      <c r="C66" s="381"/>
      <c r="D66" s="216"/>
      <c r="E66" s="193">
        <v>0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0</v>
      </c>
      <c r="O66" s="184">
        <v>0</v>
      </c>
      <c r="P66" s="184">
        <v>0</v>
      </c>
      <c r="Q66" s="357">
        <v>0</v>
      </c>
      <c r="R66" s="193">
        <f t="shared" si="7"/>
        <v>0</v>
      </c>
      <c r="S66" s="185">
        <f t="shared" si="8"/>
        <v>28</v>
      </c>
      <c r="T66" s="214">
        <f t="shared" si="9"/>
        <v>0</v>
      </c>
      <c r="U66" s="323" t="e">
        <f t="shared" si="10"/>
        <v>#DIV/0!</v>
      </c>
      <c r="V66" s="137"/>
      <c r="W66" s="55">
        <f t="shared" si="11"/>
        <v>0</v>
      </c>
      <c r="X66" s="167">
        <f t="shared" si="12"/>
        <v>0</v>
      </c>
    </row>
    <row r="67" spans="1:24" s="159" customFormat="1" ht="12.75">
      <c r="A67" s="216"/>
      <c r="B67" s="137"/>
      <c r="C67" s="381"/>
      <c r="D67" s="216"/>
      <c r="E67" s="193">
        <v>0</v>
      </c>
      <c r="F67" s="184">
        <v>0</v>
      </c>
      <c r="G67" s="184">
        <v>0</v>
      </c>
      <c r="H67" s="184">
        <v>0</v>
      </c>
      <c r="I67" s="184">
        <v>0</v>
      </c>
      <c r="J67" s="184">
        <v>0</v>
      </c>
      <c r="K67" s="184">
        <v>0</v>
      </c>
      <c r="L67" s="184">
        <v>0</v>
      </c>
      <c r="M67" s="184">
        <v>0</v>
      </c>
      <c r="N67" s="184">
        <v>0</v>
      </c>
      <c r="O67" s="184">
        <v>0</v>
      </c>
      <c r="P67" s="184">
        <v>0</v>
      </c>
      <c r="Q67" s="357">
        <v>0</v>
      </c>
      <c r="R67" s="193">
        <f t="shared" si="7"/>
        <v>0</v>
      </c>
      <c r="S67" s="185">
        <f t="shared" si="8"/>
        <v>28</v>
      </c>
      <c r="T67" s="214">
        <f t="shared" si="9"/>
        <v>0</v>
      </c>
      <c r="U67" s="323" t="e">
        <f t="shared" si="10"/>
        <v>#DIV/0!</v>
      </c>
      <c r="V67" s="137"/>
      <c r="W67" s="55">
        <f t="shared" si="11"/>
        <v>0</v>
      </c>
      <c r="X67" s="167">
        <f t="shared" si="12"/>
        <v>0</v>
      </c>
    </row>
    <row r="68" spans="1:24" s="159" customFormat="1" ht="12.75">
      <c r="A68" s="216"/>
      <c r="B68" s="137"/>
      <c r="C68" s="381"/>
      <c r="D68" s="216"/>
      <c r="E68" s="193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0</v>
      </c>
      <c r="Q68" s="357">
        <v>0</v>
      </c>
      <c r="R68" s="193">
        <f t="shared" si="7"/>
        <v>0</v>
      </c>
      <c r="S68" s="185">
        <f t="shared" si="8"/>
        <v>28</v>
      </c>
      <c r="T68" s="214">
        <f t="shared" si="9"/>
        <v>0</v>
      </c>
      <c r="U68" s="323" t="e">
        <f t="shared" si="10"/>
        <v>#DIV/0!</v>
      </c>
      <c r="V68" s="137"/>
      <c r="W68" s="55">
        <f t="shared" si="11"/>
        <v>0</v>
      </c>
      <c r="X68" s="167">
        <f t="shared" si="12"/>
        <v>0</v>
      </c>
    </row>
    <row r="69" spans="1:24" s="159" customFormat="1" ht="13.5" thickBot="1">
      <c r="A69" s="219"/>
      <c r="B69" s="427"/>
      <c r="C69" s="382"/>
      <c r="D69" s="219"/>
      <c r="E69" s="195">
        <v>0</v>
      </c>
      <c r="F69" s="162">
        <v>0</v>
      </c>
      <c r="G69" s="162">
        <v>0</v>
      </c>
      <c r="H69" s="162">
        <v>0</v>
      </c>
      <c r="I69" s="162">
        <v>0</v>
      </c>
      <c r="J69" s="162">
        <v>0</v>
      </c>
      <c r="K69" s="162">
        <v>0</v>
      </c>
      <c r="L69" s="162">
        <v>0</v>
      </c>
      <c r="M69" s="162">
        <v>0</v>
      </c>
      <c r="N69" s="162">
        <v>0</v>
      </c>
      <c r="O69" s="162">
        <v>0</v>
      </c>
      <c r="P69" s="162">
        <v>0</v>
      </c>
      <c r="Q69" s="358">
        <v>0</v>
      </c>
      <c r="R69" s="195">
        <f t="shared" si="7"/>
        <v>0</v>
      </c>
      <c r="S69" s="351">
        <f t="shared" si="8"/>
        <v>28</v>
      </c>
      <c r="T69" s="215">
        <f t="shared" si="9"/>
        <v>0</v>
      </c>
      <c r="U69" s="324" t="e">
        <f t="shared" si="10"/>
        <v>#DIV/0!</v>
      </c>
      <c r="V69" s="137"/>
      <c r="W69" s="55">
        <f t="shared" si="11"/>
        <v>0</v>
      </c>
      <c r="X69" s="167">
        <f>R68-R69</f>
        <v>0</v>
      </c>
    </row>
    <row r="70" spans="1:23" s="159" customFormat="1" ht="12.75">
      <c r="A70" s="83"/>
      <c r="B70" s="55"/>
      <c r="C70" s="155"/>
      <c r="D70" s="55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167"/>
      <c r="S70" s="185"/>
      <c r="T70" s="167"/>
      <c r="U70" s="186"/>
      <c r="W70" s="56"/>
    </row>
    <row r="71" spans="1:23" s="159" customFormat="1" ht="12.75">
      <c r="A71" s="83"/>
      <c r="B71" s="55"/>
      <c r="C71" s="155"/>
      <c r="D71" s="55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167"/>
      <c r="S71" s="185"/>
      <c r="T71" s="167"/>
      <c r="U71" s="186"/>
      <c r="W71" s="56"/>
    </row>
    <row r="72" spans="1:23" s="159" customFormat="1" ht="12.75">
      <c r="A72" s="83"/>
      <c r="B72" s="55"/>
      <c r="C72" s="155"/>
      <c r="D72" s="55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167"/>
      <c r="S72" s="185"/>
      <c r="T72" s="167"/>
      <c r="U72" s="186"/>
      <c r="W72" s="56"/>
    </row>
    <row r="73" spans="1:21" s="159" customFormat="1" ht="12.75">
      <c r="A73" s="43" t="s">
        <v>386</v>
      </c>
      <c r="B73" s="56"/>
      <c r="C73" s="160"/>
      <c r="D73" s="56"/>
      <c r="E73" s="56"/>
      <c r="F73" s="56"/>
      <c r="G73" s="56"/>
      <c r="H73" s="56"/>
      <c r="I73" s="56"/>
      <c r="J73" s="56"/>
      <c r="K73" s="56"/>
      <c r="L73" s="56"/>
      <c r="M73" s="55"/>
      <c r="N73" s="55"/>
      <c r="O73" s="55"/>
      <c r="P73" s="56"/>
      <c r="Q73" s="56"/>
      <c r="R73" s="56"/>
      <c r="S73" s="56"/>
      <c r="T73" s="56"/>
      <c r="U73" s="56"/>
    </row>
    <row r="74" spans="1:21" s="159" customFormat="1" ht="13.5" thickBot="1">
      <c r="A74" s="83"/>
      <c r="B74" s="55"/>
      <c r="C74" s="1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</row>
    <row r="75" spans="1:21" s="174" customFormat="1" ht="13.5" thickBot="1">
      <c r="A75" s="85" t="s">
        <v>104</v>
      </c>
      <c r="B75" s="187"/>
      <c r="C75" s="188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69"/>
    </row>
    <row r="76" spans="1:24" s="152" customFormat="1" ht="39.75" customHeight="1" thickBot="1">
      <c r="A76" s="82" t="s">
        <v>86</v>
      </c>
      <c r="B76" s="149" t="s">
        <v>93</v>
      </c>
      <c r="C76" s="220" t="s">
        <v>64</v>
      </c>
      <c r="D76" s="176" t="s">
        <v>115</v>
      </c>
      <c r="E76" s="175" t="s">
        <v>116</v>
      </c>
      <c r="F76" s="177" t="s">
        <v>126</v>
      </c>
      <c r="G76" s="178" t="s">
        <v>117</v>
      </c>
      <c r="H76" s="178" t="s">
        <v>118</v>
      </c>
      <c r="I76" s="345" t="s">
        <v>400</v>
      </c>
      <c r="J76" s="178" t="s">
        <v>119</v>
      </c>
      <c r="K76" s="179" t="s">
        <v>120</v>
      </c>
      <c r="L76" s="175" t="s">
        <v>121</v>
      </c>
      <c r="M76" s="180" t="s">
        <v>122</v>
      </c>
      <c r="N76" s="177" t="s">
        <v>123</v>
      </c>
      <c r="O76" s="178" t="s">
        <v>124</v>
      </c>
      <c r="P76" s="189" t="s">
        <v>125</v>
      </c>
      <c r="Q76" s="64" t="s">
        <v>65</v>
      </c>
      <c r="R76" s="190" t="s">
        <v>66</v>
      </c>
      <c r="S76" s="191" t="s">
        <v>67</v>
      </c>
      <c r="T76" s="192" t="s">
        <v>68</v>
      </c>
      <c r="U76" s="416"/>
      <c r="V76" s="221" t="s">
        <v>109</v>
      </c>
      <c r="W76" s="151"/>
      <c r="X76" s="151" t="s">
        <v>110</v>
      </c>
    </row>
    <row r="77" spans="1:26" s="159" customFormat="1" ht="12.75">
      <c r="A77" s="467" t="s">
        <v>371</v>
      </c>
      <c r="B77" s="468" t="s">
        <v>275</v>
      </c>
      <c r="C77" s="469" t="s">
        <v>272</v>
      </c>
      <c r="D77" s="370">
        <v>1109</v>
      </c>
      <c r="E77" s="370">
        <v>1108</v>
      </c>
      <c r="F77" s="370">
        <v>1100</v>
      </c>
      <c r="G77" s="370">
        <v>1078</v>
      </c>
      <c r="H77" s="370">
        <v>1104</v>
      </c>
      <c r="I77" s="459">
        <v>1119</v>
      </c>
      <c r="J77" s="370">
        <v>1125</v>
      </c>
      <c r="K77" s="193">
        <v>1059</v>
      </c>
      <c r="L77" s="370">
        <v>1116</v>
      </c>
      <c r="M77" s="193">
        <v>0</v>
      </c>
      <c r="N77" s="370">
        <v>1094</v>
      </c>
      <c r="O77" s="193">
        <v>0</v>
      </c>
      <c r="P77" s="370">
        <v>1099</v>
      </c>
      <c r="Q77" s="458">
        <f aca="true" t="shared" si="14" ref="Q77:Q87">MAX(D77:O77)+LARGE(D77:O77,2)+LARGE(D77:O77,3)+LARGE(D77:O77,4)+LARGE(D77:O77,5)+P77</f>
        <v>6676</v>
      </c>
      <c r="R77" s="498">
        <f aca="true" t="shared" si="15" ref="R77:R87">RANK(Q77,Q$77:Q$87)</f>
        <v>1</v>
      </c>
      <c r="S77" s="32">
        <f>SUM(D37:P77)</f>
        <v>50956</v>
      </c>
      <c r="T77" s="158">
        <f aca="true" t="shared" si="16" ref="T77:T87">S77/V77</f>
        <v>4632.363636363636</v>
      </c>
      <c r="U77" s="470"/>
      <c r="V77" s="217">
        <f>COUNTIF(D77:P77,"&gt;0")</f>
        <v>11</v>
      </c>
      <c r="W77" s="470"/>
      <c r="X77" s="460"/>
      <c r="Z77" s="450" t="e">
        <f>R76-R77</f>
        <v>#VALUE!</v>
      </c>
    </row>
    <row r="78" spans="1:26" s="159" customFormat="1" ht="12.75">
      <c r="A78" s="154" t="s">
        <v>112</v>
      </c>
      <c r="B78" s="183" t="s">
        <v>88</v>
      </c>
      <c r="C78" s="183" t="s">
        <v>53</v>
      </c>
      <c r="D78" s="370">
        <v>1096</v>
      </c>
      <c r="E78" s="370">
        <v>1099</v>
      </c>
      <c r="F78" s="370">
        <v>1107</v>
      </c>
      <c r="G78" s="370">
        <v>1049</v>
      </c>
      <c r="H78" s="370">
        <v>1075</v>
      </c>
      <c r="I78" s="357">
        <v>1098</v>
      </c>
      <c r="J78" s="370">
        <v>1068</v>
      </c>
      <c r="K78" s="370">
        <v>1068</v>
      </c>
      <c r="L78" s="370">
        <v>1070</v>
      </c>
      <c r="M78" s="193">
        <v>0</v>
      </c>
      <c r="N78" s="370">
        <v>1072</v>
      </c>
      <c r="O78" s="193">
        <v>0</v>
      </c>
      <c r="P78" s="370">
        <v>1093</v>
      </c>
      <c r="Q78" s="184">
        <f t="shared" si="14"/>
        <v>6568</v>
      </c>
      <c r="R78" s="194">
        <f t="shared" si="15"/>
        <v>2</v>
      </c>
      <c r="S78" s="194">
        <f aca="true" t="shared" si="17" ref="S78:S87">SUM(D78:P78)</f>
        <v>11895</v>
      </c>
      <c r="T78" s="158">
        <f t="shared" si="16"/>
        <v>1081.3636363636363</v>
      </c>
      <c r="U78" s="216"/>
      <c r="V78" s="217">
        <f aca="true" t="shared" si="18" ref="V78:V87">COUNTIF(D78:P78,"&gt;0")</f>
        <v>11</v>
      </c>
      <c r="W78" s="216"/>
      <c r="X78" s="214">
        <f>Q77-Q78</f>
        <v>108</v>
      </c>
      <c r="Z78" s="450">
        <f aca="true" t="shared" si="19" ref="Z78:Z87">R77-R78</f>
        <v>-1</v>
      </c>
    </row>
    <row r="79" spans="1:26" s="159" customFormat="1" ht="12.75">
      <c r="A79" s="154" t="s">
        <v>89</v>
      </c>
      <c r="B79" s="183" t="s">
        <v>90</v>
      </c>
      <c r="C79" s="183" t="s">
        <v>60</v>
      </c>
      <c r="D79" s="370">
        <v>1029</v>
      </c>
      <c r="E79" s="370">
        <v>1047</v>
      </c>
      <c r="F79" s="193">
        <v>0</v>
      </c>
      <c r="G79" s="370">
        <v>1052</v>
      </c>
      <c r="H79" s="193">
        <v>0</v>
      </c>
      <c r="I79" s="184">
        <v>0</v>
      </c>
      <c r="J79" s="370">
        <v>1069</v>
      </c>
      <c r="K79" s="370">
        <v>1057</v>
      </c>
      <c r="L79" s="193">
        <v>0</v>
      </c>
      <c r="M79" s="193">
        <v>0</v>
      </c>
      <c r="N79" s="370">
        <v>1069</v>
      </c>
      <c r="O79" s="193">
        <v>0</v>
      </c>
      <c r="P79" s="370">
        <v>1055</v>
      </c>
      <c r="Q79" s="184">
        <f t="shared" si="14"/>
        <v>6349</v>
      </c>
      <c r="R79" s="194">
        <f t="shared" si="15"/>
        <v>3</v>
      </c>
      <c r="S79" s="194">
        <f t="shared" si="17"/>
        <v>7378</v>
      </c>
      <c r="T79" s="158">
        <f t="shared" si="16"/>
        <v>1054</v>
      </c>
      <c r="U79" s="216"/>
      <c r="V79" s="217">
        <f t="shared" si="18"/>
        <v>7</v>
      </c>
      <c r="W79" s="216"/>
      <c r="X79" s="214">
        <f>Q78-Q79</f>
        <v>219</v>
      </c>
      <c r="Z79" s="450">
        <f t="shared" si="19"/>
        <v>-1</v>
      </c>
    </row>
    <row r="80" spans="1:26" s="159" customFormat="1" ht="12.75">
      <c r="A80" s="216" t="s">
        <v>354</v>
      </c>
      <c r="B80" s="183" t="s">
        <v>151</v>
      </c>
      <c r="C80" s="217" t="s">
        <v>272</v>
      </c>
      <c r="D80" s="193">
        <v>653</v>
      </c>
      <c r="E80" s="193">
        <v>674</v>
      </c>
      <c r="F80" s="193">
        <v>670</v>
      </c>
      <c r="G80" s="193">
        <v>654</v>
      </c>
      <c r="H80" s="193">
        <v>662</v>
      </c>
      <c r="I80" s="184">
        <v>649</v>
      </c>
      <c r="J80" s="193">
        <v>659</v>
      </c>
      <c r="K80" s="193">
        <v>663</v>
      </c>
      <c r="L80" s="193">
        <v>622</v>
      </c>
      <c r="M80" s="193">
        <v>0</v>
      </c>
      <c r="N80" s="193">
        <v>0</v>
      </c>
      <c r="O80" s="193">
        <v>0</v>
      </c>
      <c r="P80" s="370">
        <v>652</v>
      </c>
      <c r="Q80" s="184">
        <f t="shared" si="14"/>
        <v>3980</v>
      </c>
      <c r="R80" s="194">
        <f t="shared" si="15"/>
        <v>4</v>
      </c>
      <c r="S80" s="194">
        <f t="shared" si="17"/>
        <v>6558</v>
      </c>
      <c r="T80" s="158">
        <f t="shared" si="16"/>
        <v>655.8</v>
      </c>
      <c r="U80" s="216"/>
      <c r="V80" s="217">
        <f t="shared" si="18"/>
        <v>10</v>
      </c>
      <c r="W80" s="216"/>
      <c r="X80" s="214">
        <f>Q79-Q80</f>
        <v>2369</v>
      </c>
      <c r="Z80" s="450">
        <f t="shared" si="19"/>
        <v>-1</v>
      </c>
    </row>
    <row r="81" spans="1:26" s="159" customFormat="1" ht="12.75">
      <c r="A81" s="154" t="s">
        <v>145</v>
      </c>
      <c r="B81" s="183" t="s">
        <v>136</v>
      </c>
      <c r="C81" s="183" t="s">
        <v>55</v>
      </c>
      <c r="D81" s="193">
        <v>702</v>
      </c>
      <c r="E81" s="370">
        <v>1070</v>
      </c>
      <c r="F81" s="193">
        <v>0</v>
      </c>
      <c r="G81" s="193">
        <v>0</v>
      </c>
      <c r="H81" s="193">
        <v>0</v>
      </c>
      <c r="I81" s="184">
        <v>0</v>
      </c>
      <c r="J81" s="193">
        <v>0</v>
      </c>
      <c r="K81" s="193">
        <v>0</v>
      </c>
      <c r="L81" s="193">
        <v>0</v>
      </c>
      <c r="M81" s="193">
        <v>0</v>
      </c>
      <c r="N81" s="193">
        <v>0</v>
      </c>
      <c r="O81" s="193">
        <v>0</v>
      </c>
      <c r="P81" s="370">
        <v>0</v>
      </c>
      <c r="Q81" s="184">
        <f t="shared" si="14"/>
        <v>1772</v>
      </c>
      <c r="R81" s="194">
        <f t="shared" si="15"/>
        <v>5</v>
      </c>
      <c r="S81" s="194">
        <f t="shared" si="17"/>
        <v>1772</v>
      </c>
      <c r="T81" s="158">
        <f t="shared" si="16"/>
        <v>886</v>
      </c>
      <c r="U81" s="216"/>
      <c r="V81" s="217">
        <f t="shared" si="18"/>
        <v>2</v>
      </c>
      <c r="W81" s="216"/>
      <c r="X81" s="214">
        <f>Q77-Q81</f>
        <v>4904</v>
      </c>
      <c r="Z81" s="450">
        <f t="shared" si="19"/>
        <v>-1</v>
      </c>
    </row>
    <row r="82" spans="1:26" s="159" customFormat="1" ht="12.75">
      <c r="A82" s="154" t="s">
        <v>429</v>
      </c>
      <c r="B82" s="183" t="s">
        <v>151</v>
      </c>
      <c r="C82" s="183" t="s">
        <v>53</v>
      </c>
      <c r="D82" s="193">
        <v>0</v>
      </c>
      <c r="E82" s="193">
        <v>0</v>
      </c>
      <c r="F82" s="370">
        <v>1043</v>
      </c>
      <c r="G82" s="193">
        <v>0</v>
      </c>
      <c r="H82" s="193">
        <v>0</v>
      </c>
      <c r="I82" s="184">
        <v>0</v>
      </c>
      <c r="J82" s="193">
        <v>0</v>
      </c>
      <c r="K82" s="193">
        <v>0</v>
      </c>
      <c r="L82" s="193">
        <v>0</v>
      </c>
      <c r="M82" s="193">
        <v>0</v>
      </c>
      <c r="N82" s="193">
        <v>0</v>
      </c>
      <c r="O82" s="193">
        <v>0</v>
      </c>
      <c r="P82" s="370">
        <v>0</v>
      </c>
      <c r="Q82" s="184">
        <f t="shared" si="14"/>
        <v>1043</v>
      </c>
      <c r="R82" s="194">
        <f t="shared" si="15"/>
        <v>6</v>
      </c>
      <c r="S82" s="194">
        <f t="shared" si="17"/>
        <v>1043</v>
      </c>
      <c r="T82" s="158">
        <f t="shared" si="16"/>
        <v>1043</v>
      </c>
      <c r="U82" s="216"/>
      <c r="V82" s="217">
        <f t="shared" si="18"/>
        <v>1</v>
      </c>
      <c r="W82" s="216"/>
      <c r="X82" s="214">
        <f>Q81-Q82</f>
        <v>729</v>
      </c>
      <c r="Z82" s="450">
        <f t="shared" si="19"/>
        <v>-1</v>
      </c>
    </row>
    <row r="83" spans="1:26" s="159" customFormat="1" ht="12.75">
      <c r="A83" s="206" t="s">
        <v>273</v>
      </c>
      <c r="B83" s="204" t="s">
        <v>274</v>
      </c>
      <c r="C83" s="205" t="s">
        <v>52</v>
      </c>
      <c r="D83" s="193">
        <v>0</v>
      </c>
      <c r="E83" s="193">
        <v>0</v>
      </c>
      <c r="F83" s="193">
        <v>0</v>
      </c>
      <c r="G83" s="193">
        <v>0</v>
      </c>
      <c r="H83" s="193">
        <v>0</v>
      </c>
      <c r="I83" s="184">
        <v>0</v>
      </c>
      <c r="J83" s="193">
        <v>0</v>
      </c>
      <c r="K83" s="193">
        <v>0</v>
      </c>
      <c r="L83" s="193">
        <v>0</v>
      </c>
      <c r="M83" s="193">
        <v>0</v>
      </c>
      <c r="N83" s="193">
        <v>0</v>
      </c>
      <c r="O83" s="193">
        <v>0</v>
      </c>
      <c r="P83" s="370">
        <v>0</v>
      </c>
      <c r="Q83" s="184">
        <f t="shared" si="14"/>
        <v>0</v>
      </c>
      <c r="R83" s="194">
        <f t="shared" si="15"/>
        <v>7</v>
      </c>
      <c r="S83" s="194">
        <f t="shared" si="17"/>
        <v>0</v>
      </c>
      <c r="T83" s="158" t="e">
        <f t="shared" si="16"/>
        <v>#DIV/0!</v>
      </c>
      <c r="U83" s="216"/>
      <c r="V83" s="217">
        <f t="shared" si="18"/>
        <v>0</v>
      </c>
      <c r="W83" s="216"/>
      <c r="X83" s="214">
        <f>Q82-Q83</f>
        <v>1043</v>
      </c>
      <c r="Z83" s="450">
        <f t="shared" si="19"/>
        <v>-1</v>
      </c>
    </row>
    <row r="84" spans="1:26" s="159" customFormat="1" ht="12.75">
      <c r="A84" s="154" t="s">
        <v>91</v>
      </c>
      <c r="B84" s="183" t="s">
        <v>92</v>
      </c>
      <c r="C84" s="183" t="s">
        <v>62</v>
      </c>
      <c r="D84" s="193">
        <v>0</v>
      </c>
      <c r="E84" s="193">
        <v>0</v>
      </c>
      <c r="F84" s="193">
        <v>0</v>
      </c>
      <c r="G84" s="193">
        <v>0</v>
      </c>
      <c r="H84" s="193">
        <v>0</v>
      </c>
      <c r="I84" s="184">
        <v>0</v>
      </c>
      <c r="J84" s="193">
        <v>0</v>
      </c>
      <c r="K84" s="193">
        <v>0</v>
      </c>
      <c r="L84" s="193">
        <v>0</v>
      </c>
      <c r="M84" s="193">
        <v>0</v>
      </c>
      <c r="N84" s="193">
        <v>0</v>
      </c>
      <c r="O84" s="193">
        <v>0</v>
      </c>
      <c r="P84" s="370">
        <v>0</v>
      </c>
      <c r="Q84" s="184">
        <f t="shared" si="14"/>
        <v>0</v>
      </c>
      <c r="R84" s="194">
        <f t="shared" si="15"/>
        <v>7</v>
      </c>
      <c r="S84" s="194">
        <f t="shared" si="17"/>
        <v>0</v>
      </c>
      <c r="T84" s="158" t="e">
        <f t="shared" si="16"/>
        <v>#DIV/0!</v>
      </c>
      <c r="U84" s="216"/>
      <c r="V84" s="217">
        <f t="shared" si="18"/>
        <v>0</v>
      </c>
      <c r="W84" s="216"/>
      <c r="X84" s="214">
        <f>Q83-Q84</f>
        <v>0</v>
      </c>
      <c r="Z84" s="450">
        <f t="shared" si="19"/>
        <v>0</v>
      </c>
    </row>
    <row r="85" spans="1:26" s="159" customFormat="1" ht="12.75">
      <c r="A85" s="154" t="s">
        <v>114</v>
      </c>
      <c r="B85" s="183" t="s">
        <v>87</v>
      </c>
      <c r="C85" s="183" t="s">
        <v>52</v>
      </c>
      <c r="D85" s="193">
        <v>0</v>
      </c>
      <c r="E85" s="193">
        <v>0</v>
      </c>
      <c r="F85" s="193">
        <v>0</v>
      </c>
      <c r="G85" s="193">
        <v>0</v>
      </c>
      <c r="H85" s="193">
        <v>0</v>
      </c>
      <c r="I85" s="184">
        <v>0</v>
      </c>
      <c r="J85" s="193">
        <v>0</v>
      </c>
      <c r="K85" s="193">
        <v>0</v>
      </c>
      <c r="L85" s="193">
        <v>0</v>
      </c>
      <c r="M85" s="193">
        <v>0</v>
      </c>
      <c r="N85" s="193">
        <v>0</v>
      </c>
      <c r="O85" s="193">
        <v>0</v>
      </c>
      <c r="P85" s="370">
        <v>0</v>
      </c>
      <c r="Q85" s="184">
        <f t="shared" si="14"/>
        <v>0</v>
      </c>
      <c r="R85" s="194">
        <f t="shared" si="15"/>
        <v>7</v>
      </c>
      <c r="S85" s="194">
        <f t="shared" si="17"/>
        <v>0</v>
      </c>
      <c r="T85" s="158" t="e">
        <f t="shared" si="16"/>
        <v>#DIV/0!</v>
      </c>
      <c r="U85" s="216"/>
      <c r="V85" s="217">
        <f t="shared" si="18"/>
        <v>0</v>
      </c>
      <c r="W85" s="216"/>
      <c r="X85" s="214">
        <f>Q79-Q85</f>
        <v>6349</v>
      </c>
      <c r="Z85" s="450">
        <f t="shared" si="19"/>
        <v>0</v>
      </c>
    </row>
    <row r="86" spans="1:26" s="159" customFormat="1" ht="12.75">
      <c r="A86" s="154" t="s">
        <v>170</v>
      </c>
      <c r="B86" s="100" t="s">
        <v>166</v>
      </c>
      <c r="C86" s="104" t="s">
        <v>171</v>
      </c>
      <c r="D86" s="193">
        <v>0</v>
      </c>
      <c r="E86" s="193">
        <v>0</v>
      </c>
      <c r="F86" s="193">
        <v>0</v>
      </c>
      <c r="G86" s="193">
        <v>0</v>
      </c>
      <c r="H86" s="193">
        <v>0</v>
      </c>
      <c r="I86" s="184">
        <v>0</v>
      </c>
      <c r="J86" s="193">
        <v>0</v>
      </c>
      <c r="K86" s="193">
        <v>0</v>
      </c>
      <c r="L86" s="193">
        <v>0</v>
      </c>
      <c r="M86" s="193">
        <v>0</v>
      </c>
      <c r="N86" s="193">
        <v>0</v>
      </c>
      <c r="O86" s="193">
        <v>0</v>
      </c>
      <c r="P86" s="370">
        <v>0</v>
      </c>
      <c r="Q86" s="184">
        <f t="shared" si="14"/>
        <v>0</v>
      </c>
      <c r="R86" s="194">
        <f t="shared" si="15"/>
        <v>7</v>
      </c>
      <c r="S86" s="194">
        <f t="shared" si="17"/>
        <v>0</v>
      </c>
      <c r="T86" s="158" t="e">
        <f t="shared" si="16"/>
        <v>#DIV/0!</v>
      </c>
      <c r="U86" s="216"/>
      <c r="V86" s="217">
        <f t="shared" si="18"/>
        <v>0</v>
      </c>
      <c r="W86" s="216"/>
      <c r="X86" s="214">
        <f>Q85-Q86</f>
        <v>0</v>
      </c>
      <c r="Z86" s="450">
        <f t="shared" si="19"/>
        <v>0</v>
      </c>
    </row>
    <row r="87" spans="1:26" s="159" customFormat="1" ht="13.5" thickBot="1">
      <c r="A87" s="161" t="s">
        <v>146</v>
      </c>
      <c r="B87" s="199" t="s">
        <v>147</v>
      </c>
      <c r="C87" s="199" t="s">
        <v>55</v>
      </c>
      <c r="D87" s="195">
        <v>0</v>
      </c>
      <c r="E87" s="195">
        <v>0</v>
      </c>
      <c r="F87" s="195">
        <v>0</v>
      </c>
      <c r="G87" s="195">
        <v>0</v>
      </c>
      <c r="H87" s="195">
        <v>0</v>
      </c>
      <c r="I87" s="162">
        <v>0</v>
      </c>
      <c r="J87" s="195">
        <v>0</v>
      </c>
      <c r="K87" s="195">
        <v>0</v>
      </c>
      <c r="L87" s="195">
        <v>0</v>
      </c>
      <c r="M87" s="195">
        <v>0</v>
      </c>
      <c r="N87" s="195">
        <v>0</v>
      </c>
      <c r="O87" s="195">
        <v>0</v>
      </c>
      <c r="P87" s="390">
        <v>0</v>
      </c>
      <c r="Q87" s="162">
        <f t="shared" si="14"/>
        <v>0</v>
      </c>
      <c r="R87" s="196">
        <f t="shared" si="15"/>
        <v>7</v>
      </c>
      <c r="S87" s="196">
        <f t="shared" si="17"/>
        <v>0</v>
      </c>
      <c r="T87" s="165" t="e">
        <f t="shared" si="16"/>
        <v>#DIV/0!</v>
      </c>
      <c r="U87" s="219"/>
      <c r="V87" s="218">
        <f t="shared" si="18"/>
        <v>0</v>
      </c>
      <c r="W87" s="219"/>
      <c r="X87" s="215">
        <f>Q86-Q87</f>
        <v>0</v>
      </c>
      <c r="Z87" s="450">
        <f t="shared" si="19"/>
        <v>0</v>
      </c>
    </row>
    <row r="88" spans="1:26" s="37" customFormat="1" ht="12.75">
      <c r="A88" s="83"/>
      <c r="B88" s="36"/>
      <c r="C88" s="72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52"/>
      <c r="Q88" s="48"/>
      <c r="R88" s="36"/>
      <c r="S88" s="41"/>
      <c r="T88" s="36"/>
      <c r="U88" s="36"/>
      <c r="Z88" s="36"/>
    </row>
    <row r="89" spans="1:21" s="37" customFormat="1" ht="12.75">
      <c r="A89" s="83"/>
      <c r="B89" s="36"/>
      <c r="C89" s="72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52"/>
      <c r="Q89" s="48"/>
      <c r="R89" s="36"/>
      <c r="S89" s="36"/>
      <c r="T89" s="36"/>
      <c r="U89" s="36"/>
    </row>
    <row r="90" spans="1:21" s="32" customFormat="1" ht="12.75">
      <c r="A90" s="43"/>
      <c r="B90" s="35"/>
      <c r="C90" s="73"/>
      <c r="D90" s="35"/>
      <c r="E90" s="35"/>
      <c r="F90" s="35"/>
      <c r="G90" s="35"/>
      <c r="H90" s="35"/>
      <c r="I90" s="35"/>
      <c r="J90" s="35"/>
      <c r="K90" s="35"/>
      <c r="L90" s="35"/>
      <c r="M90" s="36"/>
      <c r="N90" s="35"/>
      <c r="O90" s="35"/>
      <c r="P90" s="53"/>
      <c r="Q90" s="49"/>
      <c r="R90" s="35"/>
      <c r="S90" s="35"/>
      <c r="T90" s="35"/>
      <c r="U90" s="35"/>
    </row>
    <row r="91" spans="1:21" s="32" customFormat="1" ht="20.25">
      <c r="A91" s="40"/>
      <c r="B91" s="40"/>
      <c r="C91" s="375" t="s">
        <v>387</v>
      </c>
      <c r="D91" s="49"/>
      <c r="E91" s="49"/>
      <c r="F91" s="49"/>
      <c r="G91" s="49"/>
      <c r="H91" s="49"/>
      <c r="I91" s="49"/>
      <c r="J91" s="49"/>
      <c r="K91" s="49"/>
      <c r="L91" s="35"/>
      <c r="M91" s="36"/>
      <c r="N91" s="36"/>
      <c r="O91" s="35"/>
      <c r="P91" s="53"/>
      <c r="Q91" s="49"/>
      <c r="R91" s="35"/>
      <c r="S91" s="35"/>
      <c r="T91" s="35"/>
      <c r="U91" s="35"/>
    </row>
    <row r="92" spans="1:21" s="32" customFormat="1" ht="12.75">
      <c r="A92" s="40"/>
      <c r="B92" s="40"/>
      <c r="C92" s="74"/>
      <c r="D92" s="35"/>
      <c r="E92" s="35"/>
      <c r="F92" s="35"/>
      <c r="G92" s="35"/>
      <c r="H92" s="35"/>
      <c r="I92" s="35"/>
      <c r="J92" s="35"/>
      <c r="K92" s="35"/>
      <c r="L92" s="35"/>
      <c r="M92" s="36"/>
      <c r="N92" s="35"/>
      <c r="O92" s="35"/>
      <c r="P92" s="53"/>
      <c r="Q92" s="49"/>
      <c r="R92" s="35"/>
      <c r="S92" s="35"/>
      <c r="T92" s="35"/>
      <c r="U92" s="35"/>
    </row>
    <row r="93" spans="1:21" s="32" customFormat="1" ht="12.75">
      <c r="A93" s="16"/>
      <c r="B93" s="40"/>
      <c r="C93" s="74"/>
      <c r="D93" s="35"/>
      <c r="E93" s="35"/>
      <c r="F93" s="35"/>
      <c r="G93" s="35"/>
      <c r="H93" s="35"/>
      <c r="I93" s="35"/>
      <c r="J93" s="35"/>
      <c r="K93" s="35"/>
      <c r="L93" s="35"/>
      <c r="M93" s="36"/>
      <c r="N93" s="35"/>
      <c r="O93" s="35"/>
      <c r="P93" s="53"/>
      <c r="Q93" s="49"/>
      <c r="R93" s="35"/>
      <c r="S93" s="35"/>
      <c r="T93" s="35"/>
      <c r="U93" s="35"/>
    </row>
    <row r="94" spans="1:21" s="32" customFormat="1" ht="12.75">
      <c r="A94" s="16"/>
      <c r="B94" s="40"/>
      <c r="C94" s="74"/>
      <c r="D94" s="35"/>
      <c r="E94" s="35"/>
      <c r="F94" s="35"/>
      <c r="G94" s="35"/>
      <c r="H94" s="35"/>
      <c r="I94" s="35"/>
      <c r="J94" s="35"/>
      <c r="K94" s="35"/>
      <c r="L94" s="35"/>
      <c r="M94" s="36"/>
      <c r="N94" s="35"/>
      <c r="O94" s="35"/>
      <c r="P94" s="53"/>
      <c r="Q94" s="49"/>
      <c r="R94" s="35"/>
      <c r="S94" s="35"/>
      <c r="T94" s="35"/>
      <c r="U94" s="35"/>
    </row>
    <row r="95" spans="1:21" s="406" customFormat="1" ht="15.75">
      <c r="A95" s="402"/>
      <c r="B95" s="403"/>
      <c r="C95" s="404"/>
      <c r="D95" s="310"/>
      <c r="E95" s="310"/>
      <c r="F95" s="310"/>
      <c r="G95" s="310"/>
      <c r="H95" s="310"/>
      <c r="I95" s="310"/>
      <c r="J95" s="310"/>
      <c r="K95" s="310"/>
      <c r="L95" s="310"/>
      <c r="M95" s="308"/>
      <c r="N95" s="310"/>
      <c r="O95" s="310"/>
      <c r="P95" s="310"/>
      <c r="Q95" s="405"/>
      <c r="R95" s="310"/>
      <c r="S95" s="310"/>
      <c r="T95" s="310"/>
      <c r="U95" s="310"/>
    </row>
    <row r="96" spans="1:21" s="406" customFormat="1" ht="15">
      <c r="A96" s="414"/>
      <c r="B96" s="310"/>
      <c r="C96" s="415"/>
      <c r="D96" s="310"/>
      <c r="E96" s="310"/>
      <c r="F96" s="310"/>
      <c r="G96" s="310"/>
      <c r="H96" s="310"/>
      <c r="I96" s="310"/>
      <c r="J96" s="310"/>
      <c r="K96" s="310"/>
      <c r="L96" s="310"/>
      <c r="M96" s="308"/>
      <c r="N96" s="310"/>
      <c r="O96" s="310"/>
      <c r="P96" s="310"/>
      <c r="Q96" s="405"/>
      <c r="R96" s="310"/>
      <c r="S96" s="310"/>
      <c r="T96" s="310"/>
      <c r="U96" s="310"/>
    </row>
    <row r="97" spans="1:21" s="410" customFormat="1" ht="18">
      <c r="A97" s="412"/>
      <c r="B97" s="407"/>
      <c r="C97" s="411"/>
      <c r="D97" s="407"/>
      <c r="E97" s="407"/>
      <c r="F97" s="407"/>
      <c r="G97" s="407"/>
      <c r="H97" s="407"/>
      <c r="I97" s="407"/>
      <c r="J97" s="407"/>
      <c r="K97" s="407"/>
      <c r="L97" s="407"/>
      <c r="M97" s="408"/>
      <c r="N97" s="407"/>
      <c r="O97" s="407"/>
      <c r="P97" s="407"/>
      <c r="Q97" s="409"/>
      <c r="R97" s="407"/>
      <c r="S97" s="407"/>
      <c r="T97" s="407"/>
      <c r="U97" s="407"/>
    </row>
    <row r="98" spans="1:21" s="410" customFormat="1" ht="18">
      <c r="A98" s="413"/>
      <c r="B98" s="407"/>
      <c r="C98" s="411"/>
      <c r="D98" s="407"/>
      <c r="E98" s="407"/>
      <c r="F98" s="407"/>
      <c r="G98" s="407"/>
      <c r="H98" s="407"/>
      <c r="I98" s="407"/>
      <c r="J98" s="407"/>
      <c r="K98" s="407"/>
      <c r="L98" s="407"/>
      <c r="M98" s="408"/>
      <c r="N98" s="407"/>
      <c r="O98" s="407"/>
      <c r="P98" s="407"/>
      <c r="Q98" s="409"/>
      <c r="R98" s="407"/>
      <c r="S98" s="407"/>
      <c r="T98" s="407"/>
      <c r="U98" s="407"/>
    </row>
    <row r="99" spans="1:21" s="410" customFormat="1" ht="18">
      <c r="A99" s="413"/>
      <c r="B99" s="407"/>
      <c r="C99" s="411"/>
      <c r="D99" s="407"/>
      <c r="E99" s="407"/>
      <c r="F99" s="407"/>
      <c r="G99" s="407"/>
      <c r="H99" s="407"/>
      <c r="I99" s="407"/>
      <c r="J99" s="407"/>
      <c r="K99" s="407"/>
      <c r="L99" s="407"/>
      <c r="M99" s="408"/>
      <c r="N99" s="407"/>
      <c r="O99" s="407"/>
      <c r="P99" s="407"/>
      <c r="Q99" s="409"/>
      <c r="R99" s="407"/>
      <c r="S99" s="407"/>
      <c r="T99" s="407"/>
      <c r="U99" s="407"/>
    </row>
    <row r="100" spans="1:21" s="410" customFormat="1" ht="18">
      <c r="A100" s="413"/>
      <c r="B100" s="407"/>
      <c r="C100" s="411"/>
      <c r="D100" s="407"/>
      <c r="E100" s="407"/>
      <c r="F100" s="407"/>
      <c r="G100" s="407"/>
      <c r="H100" s="407"/>
      <c r="I100" s="407"/>
      <c r="J100" s="407"/>
      <c r="K100" s="407"/>
      <c r="L100" s="407"/>
      <c r="M100" s="408"/>
      <c r="N100" s="408"/>
      <c r="O100" s="407"/>
      <c r="P100" s="407"/>
      <c r="Q100" s="409"/>
      <c r="R100" s="407"/>
      <c r="S100" s="407"/>
      <c r="T100" s="407"/>
      <c r="U100" s="407"/>
    </row>
    <row r="101" spans="1:21" s="32" customFormat="1" ht="12.75">
      <c r="A101" s="43"/>
      <c r="B101" s="35"/>
      <c r="C101" s="73"/>
      <c r="D101" s="35"/>
      <c r="E101" s="35"/>
      <c r="F101" s="16"/>
      <c r="G101" s="35"/>
      <c r="H101" s="35"/>
      <c r="I101" s="35"/>
      <c r="J101" s="35"/>
      <c r="K101" s="35"/>
      <c r="L101" s="35"/>
      <c r="M101" s="36"/>
      <c r="N101" s="35"/>
      <c r="O101" s="35"/>
      <c r="P101" s="53"/>
      <c r="Q101" s="49"/>
      <c r="R101" s="35"/>
      <c r="S101" s="35"/>
      <c r="T101" s="35"/>
      <c r="U101" s="35"/>
    </row>
    <row r="102" spans="1:21" s="32" customFormat="1" ht="12.75">
      <c r="A102" s="43"/>
      <c r="B102" s="35"/>
      <c r="C102" s="73"/>
      <c r="D102" s="35"/>
      <c r="E102" s="35"/>
      <c r="F102" s="16"/>
      <c r="G102" s="35"/>
      <c r="H102" s="35"/>
      <c r="I102" s="35"/>
      <c r="J102" s="35"/>
      <c r="K102" s="35"/>
      <c r="L102" s="35"/>
      <c r="M102" s="36"/>
      <c r="N102" s="35"/>
      <c r="O102" s="35"/>
      <c r="P102" s="53"/>
      <c r="Q102" s="49"/>
      <c r="R102" s="35"/>
      <c r="S102" s="35"/>
      <c r="T102" s="35"/>
      <c r="U102" s="35"/>
    </row>
    <row r="103" spans="1:21" s="32" customFormat="1" ht="12.75">
      <c r="A103" s="43"/>
      <c r="B103" s="35"/>
      <c r="C103" s="73"/>
      <c r="D103" s="35"/>
      <c r="E103" s="35"/>
      <c r="F103" s="42"/>
      <c r="G103" s="35"/>
      <c r="H103" s="35"/>
      <c r="I103" s="35"/>
      <c r="J103" s="35"/>
      <c r="K103" s="35"/>
      <c r="L103" s="35"/>
      <c r="M103" s="36"/>
      <c r="N103" s="35"/>
      <c r="O103" s="35"/>
      <c r="P103" s="53"/>
      <c r="Q103" s="49"/>
      <c r="R103" s="35"/>
      <c r="S103" s="35"/>
      <c r="T103" s="35"/>
      <c r="U103" s="35"/>
    </row>
    <row r="104" spans="1:21" s="32" customFormat="1" ht="12.75">
      <c r="A104" s="43"/>
      <c r="B104" s="35"/>
      <c r="C104" s="73"/>
      <c r="D104" s="35"/>
      <c r="E104" s="35"/>
      <c r="F104" s="28"/>
      <c r="G104" s="35"/>
      <c r="H104" s="35"/>
      <c r="I104" s="35"/>
      <c r="J104" s="35"/>
      <c r="K104" s="35"/>
      <c r="L104" s="35"/>
      <c r="M104" s="36"/>
      <c r="N104" s="35"/>
      <c r="O104" s="35"/>
      <c r="P104" s="53"/>
      <c r="Q104" s="49"/>
      <c r="R104" s="35"/>
      <c r="S104" s="35"/>
      <c r="T104" s="35"/>
      <c r="U104" s="35"/>
    </row>
    <row r="105" spans="1:21" s="32" customFormat="1" ht="12.75">
      <c r="A105" s="43"/>
      <c r="B105" s="35"/>
      <c r="C105" s="73"/>
      <c r="D105" s="35"/>
      <c r="E105" s="35"/>
      <c r="F105" s="9"/>
      <c r="G105" s="35"/>
      <c r="H105" s="35"/>
      <c r="I105" s="35"/>
      <c r="J105" s="35"/>
      <c r="K105" s="35"/>
      <c r="L105" s="35"/>
      <c r="M105" s="36"/>
      <c r="N105" s="35"/>
      <c r="O105" s="35"/>
      <c r="P105" s="53"/>
      <c r="Q105" s="49"/>
      <c r="R105" s="35"/>
      <c r="S105" s="35"/>
      <c r="T105" s="35"/>
      <c r="U105" s="35"/>
    </row>
    <row r="106" spans="1:21" s="32" customFormat="1" ht="12.75">
      <c r="A106" s="43"/>
      <c r="B106" s="35"/>
      <c r="C106" s="73"/>
      <c r="D106" s="35"/>
      <c r="E106" s="35"/>
      <c r="F106" s="35"/>
      <c r="G106" s="35"/>
      <c r="H106" s="35"/>
      <c r="I106" s="35"/>
      <c r="J106" s="35"/>
      <c r="K106" s="35"/>
      <c r="L106" s="35"/>
      <c r="M106" s="36"/>
      <c r="N106" s="35"/>
      <c r="O106" s="35"/>
      <c r="P106" s="53"/>
      <c r="Q106" s="49"/>
      <c r="R106" s="35"/>
      <c r="S106" s="35"/>
      <c r="T106" s="35"/>
      <c r="U106" s="35"/>
    </row>
    <row r="107" spans="1:21" s="32" customFormat="1" ht="12.75">
      <c r="A107" s="43"/>
      <c r="B107" s="35"/>
      <c r="C107" s="73"/>
      <c r="D107" s="35"/>
      <c r="E107" s="35"/>
      <c r="F107" s="35"/>
      <c r="G107" s="35"/>
      <c r="H107" s="35"/>
      <c r="I107" s="35"/>
      <c r="J107" s="35"/>
      <c r="K107" s="35"/>
      <c r="L107" s="35"/>
      <c r="M107" s="36"/>
      <c r="N107" s="35"/>
      <c r="O107" s="35"/>
      <c r="P107" s="53"/>
      <c r="Q107" s="49"/>
      <c r="R107" s="35"/>
      <c r="S107" s="35"/>
      <c r="T107" s="35"/>
      <c r="U107" s="35"/>
    </row>
    <row r="108" spans="1:21" s="32" customFormat="1" ht="12.75">
      <c r="A108" s="43"/>
      <c r="B108" s="35"/>
      <c r="C108" s="73"/>
      <c r="D108" s="35"/>
      <c r="E108" s="35"/>
      <c r="F108" s="35"/>
      <c r="G108" s="35"/>
      <c r="H108" s="35"/>
      <c r="I108" s="35"/>
      <c r="J108" s="35"/>
      <c r="K108" s="35"/>
      <c r="L108" s="35"/>
      <c r="M108" s="36"/>
      <c r="N108" s="35"/>
      <c r="O108" s="35"/>
      <c r="P108" s="53"/>
      <c r="Q108" s="49"/>
      <c r="R108" s="35"/>
      <c r="S108" s="35"/>
      <c r="T108" s="35"/>
      <c r="U108" s="35"/>
    </row>
    <row r="109" spans="1:21" s="32" customFormat="1" ht="12.75">
      <c r="A109" s="43"/>
      <c r="B109" s="35"/>
      <c r="C109" s="73"/>
      <c r="D109" s="35"/>
      <c r="E109" s="35"/>
      <c r="F109" s="35"/>
      <c r="G109" s="35"/>
      <c r="H109" s="35"/>
      <c r="I109" s="35"/>
      <c r="J109" s="35"/>
      <c r="K109" s="35"/>
      <c r="L109" s="35"/>
      <c r="M109" s="36"/>
      <c r="N109" s="35"/>
      <c r="O109" s="35"/>
      <c r="P109" s="53"/>
      <c r="Q109" s="49"/>
      <c r="R109" s="35"/>
      <c r="S109" s="35"/>
      <c r="T109" s="35"/>
      <c r="U109" s="35"/>
    </row>
    <row r="110" spans="1:21" s="32" customFormat="1" ht="12.75">
      <c r="A110" s="43"/>
      <c r="B110" s="35"/>
      <c r="C110" s="73"/>
      <c r="D110" s="35"/>
      <c r="E110" s="35"/>
      <c r="F110" s="35"/>
      <c r="G110" s="35"/>
      <c r="H110" s="35"/>
      <c r="I110" s="35"/>
      <c r="J110" s="35"/>
      <c r="K110" s="35"/>
      <c r="L110" s="35"/>
      <c r="M110" s="36"/>
      <c r="N110" s="35"/>
      <c r="O110" s="35"/>
      <c r="P110" s="53"/>
      <c r="Q110" s="49"/>
      <c r="R110" s="35"/>
      <c r="S110" s="35"/>
      <c r="T110" s="35"/>
      <c r="U110" s="35"/>
    </row>
    <row r="111" spans="1:21" s="32" customFormat="1" ht="12.75">
      <c r="A111" s="43"/>
      <c r="B111" s="35"/>
      <c r="C111" s="73"/>
      <c r="D111" s="35"/>
      <c r="E111" s="35"/>
      <c r="F111" s="35"/>
      <c r="G111" s="35"/>
      <c r="H111" s="35"/>
      <c r="I111" s="35"/>
      <c r="J111" s="35"/>
      <c r="K111" s="35"/>
      <c r="L111" s="35"/>
      <c r="M111" s="36"/>
      <c r="N111" s="35"/>
      <c r="O111" s="35"/>
      <c r="P111" s="53"/>
      <c r="Q111" s="49"/>
      <c r="R111" s="35"/>
      <c r="S111" s="35"/>
      <c r="T111" s="35"/>
      <c r="U111" s="35"/>
    </row>
    <row r="112" spans="1:21" s="32" customFormat="1" ht="12.75">
      <c r="A112" s="43"/>
      <c r="B112" s="35"/>
      <c r="C112" s="73"/>
      <c r="D112" s="35"/>
      <c r="E112" s="35"/>
      <c r="F112" s="35"/>
      <c r="G112" s="35"/>
      <c r="H112" s="35"/>
      <c r="I112" s="35"/>
      <c r="J112" s="35"/>
      <c r="K112" s="35"/>
      <c r="L112" s="35"/>
      <c r="M112" s="36"/>
      <c r="N112" s="35"/>
      <c r="O112" s="35"/>
      <c r="P112" s="53"/>
      <c r="Q112" s="49"/>
      <c r="R112" s="35"/>
      <c r="S112" s="35"/>
      <c r="T112" s="35"/>
      <c r="U112" s="35"/>
    </row>
    <row r="113" spans="1:21" s="32" customFormat="1" ht="12.75">
      <c r="A113" s="43"/>
      <c r="B113" s="35"/>
      <c r="C113" s="73"/>
      <c r="D113" s="35"/>
      <c r="E113" s="35"/>
      <c r="F113" s="35"/>
      <c r="G113" s="35"/>
      <c r="H113" s="35"/>
      <c r="I113" s="35"/>
      <c r="J113" s="35"/>
      <c r="K113" s="35"/>
      <c r="L113" s="35"/>
      <c r="M113" s="36"/>
      <c r="N113" s="35"/>
      <c r="O113" s="35"/>
      <c r="P113" s="53"/>
      <c r="Q113" s="49"/>
      <c r="R113" s="35"/>
      <c r="S113" s="35"/>
      <c r="T113" s="35"/>
      <c r="U113" s="35"/>
    </row>
    <row r="114" spans="1:21" s="32" customFormat="1" ht="12.75">
      <c r="A114" s="43"/>
      <c r="B114" s="35"/>
      <c r="C114" s="73"/>
      <c r="D114" s="35"/>
      <c r="E114" s="35"/>
      <c r="F114" s="35"/>
      <c r="G114" s="35"/>
      <c r="H114" s="35"/>
      <c r="I114" s="35"/>
      <c r="J114" s="35"/>
      <c r="K114" s="35"/>
      <c r="L114" s="35"/>
      <c r="M114" s="36"/>
      <c r="N114" s="35"/>
      <c r="O114" s="35"/>
      <c r="P114" s="53"/>
      <c r="Q114" s="49"/>
      <c r="R114" s="35"/>
      <c r="S114" s="35"/>
      <c r="T114" s="35"/>
      <c r="U114" s="35"/>
    </row>
    <row r="115" spans="1:21" s="32" customFormat="1" ht="12.75">
      <c r="A115" s="43"/>
      <c r="B115" s="35"/>
      <c r="C115" s="73"/>
      <c r="D115" s="35"/>
      <c r="E115" s="35"/>
      <c r="F115" s="35"/>
      <c r="G115" s="35"/>
      <c r="H115" s="35"/>
      <c r="I115" s="35"/>
      <c r="J115" s="35"/>
      <c r="K115" s="35"/>
      <c r="L115" s="35"/>
      <c r="M115" s="36"/>
      <c r="N115" s="35"/>
      <c r="O115" s="35"/>
      <c r="P115" s="53"/>
      <c r="Q115" s="49"/>
      <c r="R115" s="35"/>
      <c r="S115" s="35"/>
      <c r="T115" s="35"/>
      <c r="U115" s="35"/>
    </row>
    <row r="116" spans="1:21" s="32" customFormat="1" ht="12.75">
      <c r="A116" s="43"/>
      <c r="B116" s="35"/>
      <c r="C116" s="73"/>
      <c r="D116" s="35"/>
      <c r="E116" s="35"/>
      <c r="F116" s="35"/>
      <c r="G116" s="35"/>
      <c r="H116" s="35"/>
      <c r="I116" s="35"/>
      <c r="J116" s="35"/>
      <c r="K116" s="35"/>
      <c r="L116" s="35"/>
      <c r="M116" s="36"/>
      <c r="N116" s="35"/>
      <c r="O116" s="35"/>
      <c r="P116" s="53"/>
      <c r="Q116" s="49"/>
      <c r="R116" s="35"/>
      <c r="S116" s="35"/>
      <c r="T116" s="35"/>
      <c r="U116" s="35"/>
    </row>
    <row r="117" spans="1:21" s="32" customFormat="1" ht="12.75">
      <c r="A117" s="43"/>
      <c r="B117" s="35"/>
      <c r="C117" s="73"/>
      <c r="D117" s="35"/>
      <c r="E117" s="35"/>
      <c r="F117" s="35"/>
      <c r="G117" s="35"/>
      <c r="H117" s="35"/>
      <c r="I117" s="35"/>
      <c r="J117" s="35"/>
      <c r="K117" s="35"/>
      <c r="L117" s="35"/>
      <c r="M117" s="36"/>
      <c r="N117" s="35"/>
      <c r="O117" s="35"/>
      <c r="P117" s="53"/>
      <c r="Q117" s="49"/>
      <c r="R117" s="35"/>
      <c r="S117" s="35"/>
      <c r="T117" s="35"/>
      <c r="U117" s="35"/>
    </row>
    <row r="118" spans="1:21" s="32" customFormat="1" ht="12.75">
      <c r="A118" s="43"/>
      <c r="B118" s="35"/>
      <c r="C118" s="73"/>
      <c r="D118" s="35"/>
      <c r="E118" s="35"/>
      <c r="F118" s="35"/>
      <c r="G118" s="35"/>
      <c r="H118" s="35"/>
      <c r="I118" s="35"/>
      <c r="J118" s="35"/>
      <c r="K118" s="35"/>
      <c r="L118" s="35"/>
      <c r="M118" s="36"/>
      <c r="N118" s="35"/>
      <c r="O118" s="35"/>
      <c r="P118" s="53"/>
      <c r="Q118" s="49"/>
      <c r="R118" s="35"/>
      <c r="S118" s="35"/>
      <c r="T118" s="35"/>
      <c r="U118" s="35"/>
    </row>
    <row r="119" spans="1:21" s="32" customFormat="1" ht="12.75">
      <c r="A119" s="43"/>
      <c r="B119" s="35"/>
      <c r="C119" s="73"/>
      <c r="D119" s="35"/>
      <c r="E119" s="35"/>
      <c r="F119" s="35"/>
      <c r="G119" s="35"/>
      <c r="H119" s="35"/>
      <c r="I119" s="35"/>
      <c r="J119" s="35"/>
      <c r="K119" s="35"/>
      <c r="L119" s="35"/>
      <c r="M119" s="36"/>
      <c r="N119" s="35"/>
      <c r="O119" s="35"/>
      <c r="P119" s="53"/>
      <c r="Q119" s="49"/>
      <c r="R119" s="35"/>
      <c r="S119" s="35"/>
      <c r="T119" s="35"/>
      <c r="U119" s="35"/>
    </row>
    <row r="120" spans="1:21" s="32" customFormat="1" ht="12.75">
      <c r="A120" s="43"/>
      <c r="B120" s="35"/>
      <c r="C120" s="73"/>
      <c r="D120" s="35"/>
      <c r="E120" s="35"/>
      <c r="F120" s="35"/>
      <c r="G120" s="35"/>
      <c r="H120" s="35"/>
      <c r="I120" s="35"/>
      <c r="J120" s="35"/>
      <c r="K120" s="35"/>
      <c r="L120" s="35"/>
      <c r="M120" s="36"/>
      <c r="N120" s="35"/>
      <c r="O120" s="35"/>
      <c r="P120" s="53"/>
      <c r="Q120" s="49"/>
      <c r="R120" s="35"/>
      <c r="S120" s="35"/>
      <c r="T120" s="35"/>
      <c r="U120" s="35"/>
    </row>
    <row r="121" spans="1:21" s="32" customFormat="1" ht="12.75">
      <c r="A121" s="43"/>
      <c r="B121" s="35"/>
      <c r="C121" s="73"/>
      <c r="D121" s="35"/>
      <c r="E121" s="35"/>
      <c r="F121" s="35"/>
      <c r="G121" s="35"/>
      <c r="H121" s="35"/>
      <c r="I121" s="35"/>
      <c r="J121" s="35"/>
      <c r="K121" s="35"/>
      <c r="L121" s="35"/>
      <c r="M121" s="36"/>
      <c r="N121" s="35"/>
      <c r="O121" s="35"/>
      <c r="P121" s="53"/>
      <c r="Q121" s="49"/>
      <c r="R121" s="35"/>
      <c r="S121" s="35"/>
      <c r="T121" s="35"/>
      <c r="U121" s="35"/>
    </row>
    <row r="122" spans="1:21" s="32" customFormat="1" ht="12.75">
      <c r="A122" s="43"/>
      <c r="B122" s="35"/>
      <c r="C122" s="73"/>
      <c r="D122" s="35"/>
      <c r="E122" s="35"/>
      <c r="F122" s="35"/>
      <c r="G122" s="35"/>
      <c r="H122" s="35"/>
      <c r="I122" s="35"/>
      <c r="J122" s="35"/>
      <c r="K122" s="35"/>
      <c r="L122" s="35"/>
      <c r="M122" s="36"/>
      <c r="N122" s="35"/>
      <c r="O122" s="35"/>
      <c r="P122" s="53"/>
      <c r="Q122" s="49"/>
      <c r="R122" s="35"/>
      <c r="S122" s="35"/>
      <c r="T122" s="35"/>
      <c r="U122" s="35"/>
    </row>
    <row r="123" spans="1:21" s="32" customFormat="1" ht="12.75">
      <c r="A123" s="43"/>
      <c r="B123" s="35"/>
      <c r="C123" s="73"/>
      <c r="D123" s="35"/>
      <c r="E123" s="35"/>
      <c r="F123" s="35"/>
      <c r="G123" s="35"/>
      <c r="H123" s="35"/>
      <c r="I123" s="35"/>
      <c r="J123" s="35"/>
      <c r="K123" s="35"/>
      <c r="L123" s="35"/>
      <c r="M123" s="36"/>
      <c r="N123" s="35"/>
      <c r="O123" s="35"/>
      <c r="P123" s="53"/>
      <c r="Q123" s="49"/>
      <c r="R123" s="35"/>
      <c r="S123" s="35"/>
      <c r="T123" s="35"/>
      <c r="U123" s="35"/>
    </row>
    <row r="124" spans="1:21" s="32" customFormat="1" ht="12.75">
      <c r="A124" s="43"/>
      <c r="B124" s="35"/>
      <c r="C124" s="73"/>
      <c r="D124" s="35"/>
      <c r="E124" s="35"/>
      <c r="F124" s="35"/>
      <c r="G124" s="35"/>
      <c r="H124" s="35"/>
      <c r="I124" s="35"/>
      <c r="J124" s="35"/>
      <c r="K124" s="35"/>
      <c r="L124" s="35"/>
      <c r="M124" s="36"/>
      <c r="N124" s="35"/>
      <c r="O124" s="35"/>
      <c r="P124" s="53"/>
      <c r="Q124" s="49"/>
      <c r="R124" s="35"/>
      <c r="S124" s="35"/>
      <c r="T124" s="35"/>
      <c r="U124" s="35"/>
    </row>
    <row r="125" spans="1:21" s="32" customFormat="1" ht="12.75">
      <c r="A125" s="43"/>
      <c r="B125" s="35"/>
      <c r="C125" s="73"/>
      <c r="D125" s="35"/>
      <c r="E125" s="35"/>
      <c r="F125" s="35"/>
      <c r="G125" s="35"/>
      <c r="H125" s="35"/>
      <c r="I125" s="35"/>
      <c r="J125" s="35"/>
      <c r="K125" s="35"/>
      <c r="L125" s="35"/>
      <c r="M125" s="36"/>
      <c r="N125" s="35"/>
      <c r="O125" s="35"/>
      <c r="P125" s="53"/>
      <c r="Q125" s="49"/>
      <c r="R125" s="35"/>
      <c r="S125" s="35"/>
      <c r="T125" s="35"/>
      <c r="U125" s="35"/>
    </row>
    <row r="126" spans="1:21" s="32" customFormat="1" ht="12.75">
      <c r="A126" s="43"/>
      <c r="B126" s="35"/>
      <c r="C126" s="73"/>
      <c r="D126" s="35"/>
      <c r="E126" s="35"/>
      <c r="F126" s="35"/>
      <c r="G126" s="35"/>
      <c r="H126" s="35"/>
      <c r="I126" s="35"/>
      <c r="J126" s="35"/>
      <c r="K126" s="35"/>
      <c r="L126" s="35"/>
      <c r="M126" s="36"/>
      <c r="N126" s="35"/>
      <c r="O126" s="35"/>
      <c r="P126" s="53"/>
      <c r="Q126" s="49"/>
      <c r="R126" s="35"/>
      <c r="S126" s="35"/>
      <c r="T126" s="35"/>
      <c r="U126" s="35"/>
    </row>
    <row r="127" spans="1:21" s="32" customFormat="1" ht="12.75">
      <c r="A127" s="43"/>
      <c r="B127" s="35"/>
      <c r="C127" s="73"/>
      <c r="D127" s="35"/>
      <c r="E127" s="35"/>
      <c r="F127" s="35"/>
      <c r="G127" s="35"/>
      <c r="H127" s="35"/>
      <c r="I127" s="35"/>
      <c r="J127" s="35"/>
      <c r="K127" s="35"/>
      <c r="L127" s="35"/>
      <c r="M127" s="36"/>
      <c r="N127" s="35"/>
      <c r="O127" s="35"/>
      <c r="P127" s="53"/>
      <c r="Q127" s="49"/>
      <c r="R127" s="35"/>
      <c r="S127" s="35"/>
      <c r="T127" s="35"/>
      <c r="U127" s="35"/>
    </row>
    <row r="128" spans="1:21" s="32" customFormat="1" ht="12.75">
      <c r="A128" s="43"/>
      <c r="B128" s="35"/>
      <c r="C128" s="73"/>
      <c r="D128" s="35"/>
      <c r="E128" s="35"/>
      <c r="F128" s="35"/>
      <c r="G128" s="35"/>
      <c r="H128" s="35"/>
      <c r="I128" s="35"/>
      <c r="J128" s="35"/>
      <c r="K128" s="35"/>
      <c r="L128" s="35"/>
      <c r="M128" s="36"/>
      <c r="N128" s="35"/>
      <c r="O128" s="35"/>
      <c r="P128" s="53"/>
      <c r="Q128" s="49"/>
      <c r="R128" s="35"/>
      <c r="S128" s="35"/>
      <c r="T128" s="35"/>
      <c r="U128" s="35"/>
    </row>
    <row r="129" spans="1:21" s="32" customFormat="1" ht="12.75">
      <c r="A129" s="43"/>
      <c r="B129" s="35"/>
      <c r="C129" s="73"/>
      <c r="D129" s="35"/>
      <c r="E129" s="35"/>
      <c r="F129" s="35"/>
      <c r="G129" s="35"/>
      <c r="H129" s="35"/>
      <c r="I129" s="35"/>
      <c r="J129" s="35"/>
      <c r="K129" s="35"/>
      <c r="L129" s="35"/>
      <c r="M129" s="36"/>
      <c r="N129" s="35"/>
      <c r="O129" s="35"/>
      <c r="P129" s="53"/>
      <c r="Q129" s="49"/>
      <c r="R129" s="35"/>
      <c r="S129" s="35"/>
      <c r="T129" s="35"/>
      <c r="U129" s="35"/>
    </row>
    <row r="130" spans="1:21" s="32" customFormat="1" ht="12.75">
      <c r="A130" s="43"/>
      <c r="B130" s="35"/>
      <c r="C130" s="73"/>
      <c r="D130" s="35"/>
      <c r="E130" s="35"/>
      <c r="F130" s="35"/>
      <c r="G130" s="35"/>
      <c r="H130" s="35"/>
      <c r="I130" s="35"/>
      <c r="J130" s="35"/>
      <c r="K130" s="35"/>
      <c r="L130" s="35"/>
      <c r="M130" s="36"/>
      <c r="N130" s="35"/>
      <c r="O130" s="35"/>
      <c r="P130" s="53"/>
      <c r="Q130" s="49"/>
      <c r="R130" s="35"/>
      <c r="S130" s="35"/>
      <c r="T130" s="35"/>
      <c r="U130" s="35"/>
    </row>
    <row r="131" spans="1:21" s="32" customFormat="1" ht="12.75">
      <c r="A131" s="43"/>
      <c r="B131" s="35"/>
      <c r="C131" s="73"/>
      <c r="D131" s="35"/>
      <c r="E131" s="35"/>
      <c r="F131" s="35"/>
      <c r="G131" s="35"/>
      <c r="H131" s="35"/>
      <c r="I131" s="35"/>
      <c r="J131" s="35"/>
      <c r="K131" s="35"/>
      <c r="L131" s="35"/>
      <c r="M131" s="36"/>
      <c r="N131" s="35"/>
      <c r="O131" s="35"/>
      <c r="P131" s="53"/>
      <c r="Q131" s="49"/>
      <c r="R131" s="35"/>
      <c r="S131" s="35"/>
      <c r="T131" s="35"/>
      <c r="U131" s="35"/>
    </row>
    <row r="132" spans="1:21" s="32" customFormat="1" ht="12.75">
      <c r="A132" s="43"/>
      <c r="B132" s="35"/>
      <c r="C132" s="73"/>
      <c r="D132" s="35"/>
      <c r="E132" s="35"/>
      <c r="F132" s="35"/>
      <c r="G132" s="35"/>
      <c r="H132" s="35"/>
      <c r="I132" s="35"/>
      <c r="J132" s="35"/>
      <c r="K132" s="35"/>
      <c r="L132" s="35"/>
      <c r="M132" s="36"/>
      <c r="N132" s="35"/>
      <c r="O132" s="35"/>
      <c r="P132" s="53"/>
      <c r="Q132" s="49"/>
      <c r="R132" s="35"/>
      <c r="S132" s="35"/>
      <c r="T132" s="35"/>
      <c r="U132" s="35"/>
    </row>
    <row r="133" spans="1:21" s="32" customFormat="1" ht="12.75">
      <c r="A133" s="43"/>
      <c r="B133" s="35"/>
      <c r="C133" s="73"/>
      <c r="D133" s="35"/>
      <c r="E133" s="35"/>
      <c r="F133" s="35"/>
      <c r="G133" s="35"/>
      <c r="H133" s="35"/>
      <c r="I133" s="35"/>
      <c r="J133" s="35"/>
      <c r="K133" s="35"/>
      <c r="L133" s="35"/>
      <c r="M133" s="36"/>
      <c r="N133" s="35"/>
      <c r="O133" s="35"/>
      <c r="P133" s="53"/>
      <c r="Q133" s="49"/>
      <c r="R133" s="35"/>
      <c r="S133" s="35"/>
      <c r="T133" s="35"/>
      <c r="U133" s="35"/>
    </row>
    <row r="134" spans="1:21" s="32" customFormat="1" ht="12.75">
      <c r="A134" s="43"/>
      <c r="B134" s="35"/>
      <c r="C134" s="73"/>
      <c r="D134" s="35"/>
      <c r="E134" s="35"/>
      <c r="F134" s="35"/>
      <c r="G134" s="35"/>
      <c r="H134" s="35"/>
      <c r="I134" s="35"/>
      <c r="J134" s="35"/>
      <c r="K134" s="35"/>
      <c r="L134" s="35"/>
      <c r="M134" s="36"/>
      <c r="N134" s="35"/>
      <c r="O134" s="35"/>
      <c r="P134" s="53"/>
      <c r="Q134" s="49"/>
      <c r="R134" s="35"/>
      <c r="S134" s="35"/>
      <c r="T134" s="35"/>
      <c r="U134" s="35"/>
    </row>
    <row r="135" spans="1:21" s="32" customFormat="1" ht="12.75">
      <c r="A135" s="43"/>
      <c r="B135" s="35"/>
      <c r="C135" s="73"/>
      <c r="D135" s="35"/>
      <c r="E135" s="35"/>
      <c r="F135" s="35"/>
      <c r="G135" s="35"/>
      <c r="H135" s="35"/>
      <c r="I135" s="35"/>
      <c r="J135" s="35"/>
      <c r="K135" s="35"/>
      <c r="L135" s="35"/>
      <c r="M135" s="36"/>
      <c r="N135" s="35"/>
      <c r="O135" s="35"/>
      <c r="P135" s="53"/>
      <c r="Q135" s="49"/>
      <c r="R135" s="35"/>
      <c r="S135" s="35"/>
      <c r="T135" s="35"/>
      <c r="U135" s="35"/>
    </row>
    <row r="136" spans="1:21" s="32" customFormat="1" ht="12.75">
      <c r="A136" s="43"/>
      <c r="B136" s="35"/>
      <c r="C136" s="73"/>
      <c r="D136" s="35"/>
      <c r="E136" s="35"/>
      <c r="F136" s="35"/>
      <c r="G136" s="35"/>
      <c r="H136" s="35"/>
      <c r="I136" s="35"/>
      <c r="J136" s="35"/>
      <c r="K136" s="35"/>
      <c r="L136" s="35"/>
      <c r="M136" s="36"/>
      <c r="N136" s="35"/>
      <c r="O136" s="35"/>
      <c r="P136" s="53"/>
      <c r="Q136" s="49"/>
      <c r="R136" s="35"/>
      <c r="S136" s="35"/>
      <c r="T136" s="35"/>
      <c r="U136" s="35"/>
    </row>
    <row r="137" spans="1:21" s="32" customFormat="1" ht="12.75">
      <c r="A137" s="43"/>
      <c r="B137" s="35"/>
      <c r="C137" s="73"/>
      <c r="D137" s="35"/>
      <c r="E137" s="35"/>
      <c r="F137" s="35"/>
      <c r="G137" s="35"/>
      <c r="H137" s="35"/>
      <c r="I137" s="35"/>
      <c r="J137" s="35"/>
      <c r="K137" s="35"/>
      <c r="L137" s="35"/>
      <c r="M137" s="36"/>
      <c r="N137" s="35"/>
      <c r="O137" s="35"/>
      <c r="P137" s="53"/>
      <c r="Q137" s="49"/>
      <c r="R137" s="35"/>
      <c r="S137" s="35"/>
      <c r="T137" s="35"/>
      <c r="U137" s="35"/>
    </row>
    <row r="138" spans="1:21" s="32" customFormat="1" ht="12.75">
      <c r="A138" s="43"/>
      <c r="B138" s="35"/>
      <c r="C138" s="73"/>
      <c r="D138" s="35"/>
      <c r="E138" s="35"/>
      <c r="F138" s="35"/>
      <c r="G138" s="35"/>
      <c r="H138" s="35"/>
      <c r="I138" s="35"/>
      <c r="J138" s="35"/>
      <c r="K138" s="35"/>
      <c r="L138" s="35"/>
      <c r="M138" s="36"/>
      <c r="N138" s="35"/>
      <c r="O138" s="35"/>
      <c r="P138" s="53"/>
      <c r="Q138" s="49"/>
      <c r="R138" s="35"/>
      <c r="S138" s="35"/>
      <c r="T138" s="35"/>
      <c r="U138" s="35"/>
    </row>
    <row r="139" spans="1:21" s="32" customFormat="1" ht="12.75">
      <c r="A139" s="43"/>
      <c r="B139" s="35"/>
      <c r="C139" s="73"/>
      <c r="D139" s="35"/>
      <c r="E139" s="35"/>
      <c r="F139" s="35"/>
      <c r="G139" s="35"/>
      <c r="H139" s="35"/>
      <c r="I139" s="35"/>
      <c r="J139" s="35"/>
      <c r="K139" s="35"/>
      <c r="L139" s="35"/>
      <c r="M139" s="36"/>
      <c r="N139" s="35"/>
      <c r="O139" s="35"/>
      <c r="P139" s="53"/>
      <c r="Q139" s="49"/>
      <c r="R139" s="35"/>
      <c r="S139" s="35"/>
      <c r="T139" s="35"/>
      <c r="U139" s="35"/>
    </row>
    <row r="140" spans="1:21" s="32" customFormat="1" ht="12.75">
      <c r="A140" s="43"/>
      <c r="B140" s="35"/>
      <c r="C140" s="73"/>
      <c r="D140" s="35"/>
      <c r="E140" s="35"/>
      <c r="F140" s="35"/>
      <c r="G140" s="35"/>
      <c r="H140" s="35"/>
      <c r="I140" s="35"/>
      <c r="J140" s="35"/>
      <c r="K140" s="35"/>
      <c r="L140" s="35"/>
      <c r="M140" s="36"/>
      <c r="N140" s="35"/>
      <c r="O140" s="35"/>
      <c r="P140" s="53"/>
      <c r="Q140" s="49"/>
      <c r="R140" s="35"/>
      <c r="S140" s="35"/>
      <c r="T140" s="35"/>
      <c r="U140" s="35"/>
    </row>
    <row r="141" spans="1:21" s="32" customFormat="1" ht="12.75">
      <c r="A141" s="43"/>
      <c r="B141" s="35"/>
      <c r="C141" s="73"/>
      <c r="D141" s="35"/>
      <c r="E141" s="35"/>
      <c r="F141" s="35"/>
      <c r="G141" s="35"/>
      <c r="H141" s="35"/>
      <c r="I141" s="35"/>
      <c r="J141" s="35"/>
      <c r="K141" s="35"/>
      <c r="L141" s="35"/>
      <c r="M141" s="36"/>
      <c r="N141" s="35"/>
      <c r="O141" s="35"/>
      <c r="P141" s="53"/>
      <c r="Q141" s="49"/>
      <c r="R141" s="35"/>
      <c r="S141" s="35"/>
      <c r="T141" s="35"/>
      <c r="U141" s="35"/>
    </row>
    <row r="142" spans="1:21" s="32" customFormat="1" ht="12.75">
      <c r="A142" s="43"/>
      <c r="B142" s="35"/>
      <c r="C142" s="73"/>
      <c r="D142" s="35"/>
      <c r="E142" s="35"/>
      <c r="F142" s="35"/>
      <c r="G142" s="35"/>
      <c r="H142" s="35"/>
      <c r="I142" s="35"/>
      <c r="J142" s="35"/>
      <c r="K142" s="35"/>
      <c r="L142" s="35"/>
      <c r="M142" s="36"/>
      <c r="N142" s="35"/>
      <c r="O142" s="35"/>
      <c r="P142" s="53"/>
      <c r="Q142" s="49"/>
      <c r="R142" s="35"/>
      <c r="S142" s="35"/>
      <c r="T142" s="35"/>
      <c r="U142" s="35"/>
    </row>
    <row r="143" spans="1:21" s="32" customFormat="1" ht="12.75">
      <c r="A143" s="43"/>
      <c r="B143" s="35"/>
      <c r="C143" s="73"/>
      <c r="D143" s="35"/>
      <c r="E143" s="35"/>
      <c r="F143" s="35"/>
      <c r="G143" s="35"/>
      <c r="H143" s="35"/>
      <c r="I143" s="35"/>
      <c r="J143" s="35"/>
      <c r="K143" s="35"/>
      <c r="L143" s="35"/>
      <c r="M143" s="36"/>
      <c r="N143" s="35"/>
      <c r="O143" s="35"/>
      <c r="P143" s="53"/>
      <c r="Q143" s="49"/>
      <c r="R143" s="35"/>
      <c r="S143" s="35"/>
      <c r="T143" s="35"/>
      <c r="U143" s="35"/>
    </row>
    <row r="144" spans="1:21" s="32" customFormat="1" ht="12.75">
      <c r="A144" s="43"/>
      <c r="B144" s="35"/>
      <c r="C144" s="73"/>
      <c r="D144" s="35"/>
      <c r="E144" s="35"/>
      <c r="F144" s="35"/>
      <c r="G144" s="35"/>
      <c r="H144" s="35"/>
      <c r="I144" s="35"/>
      <c r="J144" s="35"/>
      <c r="K144" s="35"/>
      <c r="L144" s="35"/>
      <c r="M144" s="36"/>
      <c r="N144" s="35"/>
      <c r="O144" s="35"/>
      <c r="P144" s="53"/>
      <c r="Q144" s="49"/>
      <c r="R144" s="35"/>
      <c r="S144" s="35"/>
      <c r="T144" s="35"/>
      <c r="U144" s="35"/>
    </row>
    <row r="145" spans="1:21" s="32" customFormat="1" ht="12.75">
      <c r="A145" s="43"/>
      <c r="B145" s="35"/>
      <c r="C145" s="73"/>
      <c r="D145" s="35"/>
      <c r="E145" s="35"/>
      <c r="F145" s="35"/>
      <c r="G145" s="35"/>
      <c r="H145" s="35"/>
      <c r="I145" s="35"/>
      <c r="J145" s="35"/>
      <c r="K145" s="35"/>
      <c r="L145" s="35"/>
      <c r="M145" s="36"/>
      <c r="N145" s="35"/>
      <c r="O145" s="35"/>
      <c r="P145" s="53"/>
      <c r="Q145" s="49"/>
      <c r="R145" s="35"/>
      <c r="S145" s="35"/>
      <c r="T145" s="35"/>
      <c r="U145" s="35"/>
    </row>
    <row r="146" spans="1:21" s="32" customFormat="1" ht="12.75">
      <c r="A146" s="43"/>
      <c r="B146" s="35"/>
      <c r="C146" s="73"/>
      <c r="D146" s="35"/>
      <c r="E146" s="35"/>
      <c r="F146" s="35"/>
      <c r="G146" s="35"/>
      <c r="H146" s="35"/>
      <c r="I146" s="35"/>
      <c r="J146" s="35"/>
      <c r="K146" s="35"/>
      <c r="L146" s="35"/>
      <c r="M146" s="36"/>
      <c r="N146" s="35"/>
      <c r="O146" s="35"/>
      <c r="P146" s="53"/>
      <c r="Q146" s="49"/>
      <c r="R146" s="35"/>
      <c r="S146" s="35"/>
      <c r="T146" s="35"/>
      <c r="U146" s="35"/>
    </row>
    <row r="147" spans="1:21" s="32" customFormat="1" ht="12.75">
      <c r="A147" s="43"/>
      <c r="B147" s="35"/>
      <c r="C147" s="73"/>
      <c r="D147" s="35"/>
      <c r="E147" s="35"/>
      <c r="F147" s="35"/>
      <c r="G147" s="35"/>
      <c r="H147" s="35"/>
      <c r="I147" s="35"/>
      <c r="J147" s="35"/>
      <c r="K147" s="35"/>
      <c r="L147" s="35"/>
      <c r="M147" s="36"/>
      <c r="N147" s="35"/>
      <c r="O147" s="35"/>
      <c r="P147" s="53"/>
      <c r="Q147" s="49"/>
      <c r="R147" s="35"/>
      <c r="S147" s="35"/>
      <c r="T147" s="35"/>
      <c r="U147" s="35"/>
    </row>
    <row r="148" spans="1:21" s="32" customFormat="1" ht="12.75">
      <c r="A148" s="43"/>
      <c r="B148" s="35"/>
      <c r="C148" s="73"/>
      <c r="D148" s="35"/>
      <c r="E148" s="35"/>
      <c r="F148" s="35"/>
      <c r="G148" s="35"/>
      <c r="H148" s="35"/>
      <c r="I148" s="35"/>
      <c r="J148" s="35"/>
      <c r="K148" s="35"/>
      <c r="L148" s="35"/>
      <c r="M148" s="36"/>
      <c r="N148" s="35"/>
      <c r="O148" s="35"/>
      <c r="P148" s="53"/>
      <c r="Q148" s="49"/>
      <c r="R148" s="35"/>
      <c r="S148" s="35"/>
      <c r="T148" s="35"/>
      <c r="U148" s="35"/>
    </row>
    <row r="149" spans="1:21" s="32" customFormat="1" ht="12.75">
      <c r="A149" s="43"/>
      <c r="B149" s="35"/>
      <c r="C149" s="73"/>
      <c r="D149" s="35"/>
      <c r="E149" s="35"/>
      <c r="F149" s="35"/>
      <c r="G149" s="35"/>
      <c r="H149" s="35"/>
      <c r="I149" s="35"/>
      <c r="J149" s="35"/>
      <c r="K149" s="35"/>
      <c r="L149" s="35"/>
      <c r="M149" s="36"/>
      <c r="N149" s="35"/>
      <c r="O149" s="35"/>
      <c r="P149" s="53"/>
      <c r="Q149" s="49"/>
      <c r="R149" s="35"/>
      <c r="S149" s="35"/>
      <c r="T149" s="35"/>
      <c r="U149" s="35"/>
    </row>
    <row r="150" spans="1:21" s="32" customFormat="1" ht="12.75">
      <c r="A150" s="43"/>
      <c r="B150" s="35"/>
      <c r="C150" s="73"/>
      <c r="D150" s="35"/>
      <c r="E150" s="35"/>
      <c r="F150" s="35"/>
      <c r="G150" s="35"/>
      <c r="H150" s="35"/>
      <c r="I150" s="35"/>
      <c r="J150" s="35"/>
      <c r="K150" s="35"/>
      <c r="L150" s="35"/>
      <c r="M150" s="36"/>
      <c r="N150" s="35"/>
      <c r="O150" s="35"/>
      <c r="P150" s="53"/>
      <c r="Q150" s="49"/>
      <c r="R150" s="35"/>
      <c r="S150" s="35"/>
      <c r="T150" s="35"/>
      <c r="U150" s="35"/>
    </row>
    <row r="151" spans="1:21" s="32" customFormat="1" ht="12.75">
      <c r="A151" s="43"/>
      <c r="B151" s="35"/>
      <c r="C151" s="73"/>
      <c r="D151" s="35"/>
      <c r="E151" s="35"/>
      <c r="F151" s="35"/>
      <c r="G151" s="35"/>
      <c r="H151" s="35"/>
      <c r="I151" s="35"/>
      <c r="J151" s="35"/>
      <c r="K151" s="35"/>
      <c r="L151" s="35"/>
      <c r="M151" s="36"/>
      <c r="N151" s="35"/>
      <c r="O151" s="35"/>
      <c r="P151" s="53"/>
      <c r="Q151" s="49"/>
      <c r="R151" s="35"/>
      <c r="S151" s="35"/>
      <c r="T151" s="35"/>
      <c r="U151" s="35"/>
    </row>
    <row r="152" spans="1:21" s="32" customFormat="1" ht="12.75">
      <c r="A152" s="43"/>
      <c r="B152" s="35"/>
      <c r="C152" s="73"/>
      <c r="D152" s="35"/>
      <c r="E152" s="35"/>
      <c r="F152" s="35"/>
      <c r="G152" s="35"/>
      <c r="H152" s="35"/>
      <c r="I152" s="35"/>
      <c r="J152" s="35"/>
      <c r="K152" s="35"/>
      <c r="L152" s="35"/>
      <c r="M152" s="36"/>
      <c r="N152" s="35"/>
      <c r="O152" s="35"/>
      <c r="P152" s="53"/>
      <c r="Q152" s="49"/>
      <c r="R152" s="35"/>
      <c r="S152" s="35"/>
      <c r="T152" s="35"/>
      <c r="U152" s="35"/>
    </row>
    <row r="153" spans="1:21" s="32" customFormat="1" ht="12.75">
      <c r="A153" s="43"/>
      <c r="B153" s="35"/>
      <c r="C153" s="73"/>
      <c r="D153" s="35"/>
      <c r="E153" s="35"/>
      <c r="F153" s="35"/>
      <c r="G153" s="35"/>
      <c r="H153" s="35"/>
      <c r="I153" s="35"/>
      <c r="J153" s="35"/>
      <c r="K153" s="35"/>
      <c r="L153" s="35"/>
      <c r="M153" s="36"/>
      <c r="N153" s="35"/>
      <c r="O153" s="35"/>
      <c r="P153" s="53"/>
      <c r="Q153" s="49"/>
      <c r="R153" s="35"/>
      <c r="S153" s="35"/>
      <c r="T153" s="35"/>
      <c r="U153" s="35"/>
    </row>
    <row r="154" spans="1:21" s="32" customFormat="1" ht="12.75">
      <c r="A154" s="43"/>
      <c r="B154" s="35"/>
      <c r="C154" s="73"/>
      <c r="D154" s="35"/>
      <c r="E154" s="35"/>
      <c r="F154" s="35"/>
      <c r="G154" s="35"/>
      <c r="H154" s="35"/>
      <c r="I154" s="35"/>
      <c r="J154" s="35"/>
      <c r="K154" s="35"/>
      <c r="L154" s="35"/>
      <c r="M154" s="36"/>
      <c r="N154" s="35"/>
      <c r="O154" s="35"/>
      <c r="P154" s="53"/>
      <c r="Q154" s="49"/>
      <c r="R154" s="35"/>
      <c r="S154" s="35"/>
      <c r="T154" s="35"/>
      <c r="U154" s="35"/>
    </row>
    <row r="155" spans="1:21" s="32" customFormat="1" ht="12.75">
      <c r="A155" s="43"/>
      <c r="B155" s="35"/>
      <c r="C155" s="73"/>
      <c r="D155" s="35"/>
      <c r="E155" s="35"/>
      <c r="F155" s="35"/>
      <c r="G155" s="35"/>
      <c r="H155" s="35"/>
      <c r="I155" s="35"/>
      <c r="J155" s="35"/>
      <c r="K155" s="35"/>
      <c r="L155" s="35"/>
      <c r="M155" s="36"/>
      <c r="N155" s="35"/>
      <c r="O155" s="35"/>
      <c r="P155" s="53"/>
      <c r="Q155" s="49"/>
      <c r="R155" s="35"/>
      <c r="S155" s="35"/>
      <c r="T155" s="35"/>
      <c r="U155" s="35"/>
    </row>
    <row r="156" spans="1:21" s="32" customFormat="1" ht="12.75">
      <c r="A156" s="43"/>
      <c r="B156" s="35"/>
      <c r="C156" s="73"/>
      <c r="D156" s="35"/>
      <c r="E156" s="35"/>
      <c r="F156" s="35"/>
      <c r="G156" s="35"/>
      <c r="H156" s="35"/>
      <c r="I156" s="35"/>
      <c r="J156" s="35"/>
      <c r="K156" s="35"/>
      <c r="L156" s="35"/>
      <c r="M156" s="36"/>
      <c r="N156" s="35"/>
      <c r="O156" s="35"/>
      <c r="P156" s="53"/>
      <c r="Q156" s="49"/>
      <c r="R156" s="35"/>
      <c r="S156" s="35"/>
      <c r="T156" s="35"/>
      <c r="U156" s="35"/>
    </row>
    <row r="157" spans="1:21" s="32" customFormat="1" ht="12.75">
      <c r="A157" s="43"/>
      <c r="B157" s="35"/>
      <c r="C157" s="73"/>
      <c r="D157" s="35"/>
      <c r="E157" s="35"/>
      <c r="F157" s="35"/>
      <c r="G157" s="35"/>
      <c r="H157" s="35"/>
      <c r="I157" s="35"/>
      <c r="J157" s="35"/>
      <c r="K157" s="35"/>
      <c r="L157" s="35"/>
      <c r="M157" s="36"/>
      <c r="N157" s="35"/>
      <c r="O157" s="35"/>
      <c r="P157" s="53"/>
      <c r="Q157" s="49"/>
      <c r="R157" s="35"/>
      <c r="S157" s="35"/>
      <c r="T157" s="35"/>
      <c r="U157" s="35"/>
    </row>
    <row r="158" spans="1:21" s="32" customFormat="1" ht="12.75">
      <c r="A158" s="43"/>
      <c r="B158" s="35"/>
      <c r="C158" s="73"/>
      <c r="D158" s="35"/>
      <c r="E158" s="35"/>
      <c r="F158" s="35"/>
      <c r="G158" s="35"/>
      <c r="H158" s="35"/>
      <c r="I158" s="35"/>
      <c r="J158" s="35"/>
      <c r="K158" s="35"/>
      <c r="L158" s="35"/>
      <c r="M158" s="36"/>
      <c r="N158" s="35"/>
      <c r="O158" s="35"/>
      <c r="P158" s="53"/>
      <c r="Q158" s="49"/>
      <c r="R158" s="35"/>
      <c r="S158" s="35"/>
      <c r="T158" s="35"/>
      <c r="U158" s="35"/>
    </row>
    <row r="159" spans="1:21" s="32" customFormat="1" ht="12.75">
      <c r="A159" s="43"/>
      <c r="B159" s="35"/>
      <c r="C159" s="73"/>
      <c r="D159" s="35"/>
      <c r="E159" s="35"/>
      <c r="F159" s="35"/>
      <c r="G159" s="35"/>
      <c r="H159" s="35"/>
      <c r="I159" s="35"/>
      <c r="J159" s="35"/>
      <c r="K159" s="35"/>
      <c r="L159" s="35"/>
      <c r="M159" s="36"/>
      <c r="N159" s="35"/>
      <c r="O159" s="35"/>
      <c r="P159" s="53"/>
      <c r="Q159" s="49"/>
      <c r="R159" s="35"/>
      <c r="S159" s="35"/>
      <c r="T159" s="35"/>
      <c r="U159" s="35"/>
    </row>
    <row r="160" spans="1:21" s="32" customFormat="1" ht="12.75">
      <c r="A160" s="43"/>
      <c r="B160" s="35"/>
      <c r="C160" s="73"/>
      <c r="D160" s="35"/>
      <c r="E160" s="35"/>
      <c r="F160" s="35"/>
      <c r="G160" s="35"/>
      <c r="H160" s="35"/>
      <c r="I160" s="35"/>
      <c r="J160" s="35"/>
      <c r="K160" s="35"/>
      <c r="L160" s="35"/>
      <c r="M160" s="36"/>
      <c r="N160" s="35"/>
      <c r="O160" s="35"/>
      <c r="P160" s="53"/>
      <c r="Q160" s="49"/>
      <c r="R160" s="35"/>
      <c r="S160" s="35"/>
      <c r="T160" s="35"/>
      <c r="U160" s="35"/>
    </row>
    <row r="161" spans="1:21" s="32" customFormat="1" ht="12.75">
      <c r="A161" s="43"/>
      <c r="B161" s="35"/>
      <c r="C161" s="73"/>
      <c r="D161" s="35"/>
      <c r="E161" s="35"/>
      <c r="F161" s="35"/>
      <c r="G161" s="35"/>
      <c r="H161" s="35"/>
      <c r="I161" s="35"/>
      <c r="J161" s="35"/>
      <c r="K161" s="35"/>
      <c r="L161" s="35"/>
      <c r="M161" s="36"/>
      <c r="N161" s="35"/>
      <c r="O161" s="35"/>
      <c r="P161" s="53"/>
      <c r="Q161" s="49"/>
      <c r="R161" s="35"/>
      <c r="S161" s="35"/>
      <c r="T161" s="35"/>
      <c r="U161" s="35"/>
    </row>
    <row r="162" spans="1:21" s="32" customFormat="1" ht="12.75">
      <c r="A162" s="43"/>
      <c r="B162" s="35"/>
      <c r="C162" s="73"/>
      <c r="D162" s="35"/>
      <c r="E162" s="35"/>
      <c r="F162" s="35"/>
      <c r="G162" s="35"/>
      <c r="H162" s="35"/>
      <c r="I162" s="35"/>
      <c r="J162" s="35"/>
      <c r="K162" s="35"/>
      <c r="L162" s="35"/>
      <c r="M162" s="36"/>
      <c r="N162" s="35"/>
      <c r="O162" s="35"/>
      <c r="P162" s="53"/>
      <c r="Q162" s="49"/>
      <c r="R162" s="35"/>
      <c r="S162" s="35"/>
      <c r="T162" s="35"/>
      <c r="U162" s="35"/>
    </row>
    <row r="163" spans="1:21" s="32" customFormat="1" ht="12.75">
      <c r="A163" s="43"/>
      <c r="B163" s="35"/>
      <c r="C163" s="73"/>
      <c r="D163" s="35"/>
      <c r="E163" s="35"/>
      <c r="F163" s="35"/>
      <c r="G163" s="35"/>
      <c r="H163" s="35"/>
      <c r="I163" s="35"/>
      <c r="J163" s="35"/>
      <c r="K163" s="35"/>
      <c r="L163" s="35"/>
      <c r="M163" s="36"/>
      <c r="N163" s="35"/>
      <c r="O163" s="35"/>
      <c r="P163" s="53"/>
      <c r="Q163" s="49"/>
      <c r="R163" s="35"/>
      <c r="S163" s="35"/>
      <c r="T163" s="35"/>
      <c r="U163" s="35"/>
    </row>
    <row r="164" spans="1:21" s="32" customFormat="1" ht="12.75">
      <c r="A164" s="43"/>
      <c r="B164" s="35"/>
      <c r="C164" s="73"/>
      <c r="D164" s="35"/>
      <c r="E164" s="35"/>
      <c r="F164" s="35"/>
      <c r="G164" s="35"/>
      <c r="H164" s="35"/>
      <c r="I164" s="35"/>
      <c r="J164" s="35"/>
      <c r="K164" s="35"/>
      <c r="L164" s="35"/>
      <c r="M164" s="36"/>
      <c r="N164" s="35"/>
      <c r="O164" s="35"/>
      <c r="P164" s="53"/>
      <c r="Q164" s="49"/>
      <c r="R164" s="35"/>
      <c r="S164" s="35"/>
      <c r="T164" s="35"/>
      <c r="U164" s="35"/>
    </row>
    <row r="165" spans="1:21" s="32" customFormat="1" ht="12.75">
      <c r="A165" s="43"/>
      <c r="B165" s="35"/>
      <c r="C165" s="73"/>
      <c r="D165" s="35"/>
      <c r="E165" s="35"/>
      <c r="F165" s="35"/>
      <c r="G165" s="35"/>
      <c r="H165" s="35"/>
      <c r="I165" s="35"/>
      <c r="J165" s="35"/>
      <c r="K165" s="35"/>
      <c r="L165" s="35"/>
      <c r="M165" s="36"/>
      <c r="N165" s="35"/>
      <c r="O165" s="35"/>
      <c r="P165" s="53"/>
      <c r="Q165" s="49"/>
      <c r="R165" s="35"/>
      <c r="S165" s="35"/>
      <c r="T165" s="35"/>
      <c r="U165" s="35"/>
    </row>
    <row r="166" spans="1:21" s="32" customFormat="1" ht="12.75">
      <c r="A166" s="43"/>
      <c r="B166" s="35"/>
      <c r="C166" s="73"/>
      <c r="D166" s="35"/>
      <c r="E166" s="35"/>
      <c r="F166" s="35"/>
      <c r="G166" s="35"/>
      <c r="H166" s="35"/>
      <c r="I166" s="35"/>
      <c r="J166" s="35"/>
      <c r="K166" s="35"/>
      <c r="L166" s="35"/>
      <c r="M166" s="36"/>
      <c r="N166" s="35"/>
      <c r="O166" s="35"/>
      <c r="P166" s="53"/>
      <c r="Q166" s="49"/>
      <c r="R166" s="35"/>
      <c r="S166" s="35"/>
      <c r="T166" s="35"/>
      <c r="U166" s="35"/>
    </row>
    <row r="167" spans="1:21" s="32" customFormat="1" ht="12.75">
      <c r="A167" s="43"/>
      <c r="B167" s="35"/>
      <c r="C167" s="73"/>
      <c r="D167" s="35"/>
      <c r="E167" s="35"/>
      <c r="F167" s="35"/>
      <c r="G167" s="35"/>
      <c r="H167" s="35"/>
      <c r="I167" s="35"/>
      <c r="J167" s="35"/>
      <c r="K167" s="35"/>
      <c r="L167" s="35"/>
      <c r="M167" s="36"/>
      <c r="N167" s="35"/>
      <c r="O167" s="35"/>
      <c r="P167" s="53"/>
      <c r="Q167" s="49"/>
      <c r="R167" s="35"/>
      <c r="S167" s="35"/>
      <c r="T167" s="35"/>
      <c r="U167" s="35"/>
    </row>
    <row r="168" spans="1:21" s="32" customFormat="1" ht="12.75">
      <c r="A168" s="43"/>
      <c r="B168" s="35"/>
      <c r="C168" s="73"/>
      <c r="D168" s="35"/>
      <c r="E168" s="35"/>
      <c r="F168" s="35"/>
      <c r="G168" s="35"/>
      <c r="H168" s="35"/>
      <c r="I168" s="35"/>
      <c r="J168" s="35"/>
      <c r="K168" s="35"/>
      <c r="L168" s="35"/>
      <c r="M168" s="36"/>
      <c r="N168" s="35"/>
      <c r="O168" s="35"/>
      <c r="P168" s="53"/>
      <c r="Q168" s="49"/>
      <c r="R168" s="35"/>
      <c r="S168" s="35"/>
      <c r="T168" s="35"/>
      <c r="U168" s="35"/>
    </row>
    <row r="169" spans="1:21" s="32" customFormat="1" ht="12.75">
      <c r="A169" s="43"/>
      <c r="B169" s="35"/>
      <c r="C169" s="73"/>
      <c r="D169" s="35"/>
      <c r="E169" s="35"/>
      <c r="F169" s="35"/>
      <c r="G169" s="35"/>
      <c r="H169" s="35"/>
      <c r="I169" s="35"/>
      <c r="J169" s="35"/>
      <c r="K169" s="35"/>
      <c r="L169" s="35"/>
      <c r="M169" s="36"/>
      <c r="N169" s="35"/>
      <c r="O169" s="35"/>
      <c r="P169" s="53"/>
      <c r="Q169" s="49"/>
      <c r="R169" s="35"/>
      <c r="S169" s="35"/>
      <c r="T169" s="35"/>
      <c r="U169" s="35"/>
    </row>
    <row r="170" spans="1:21" s="32" customFormat="1" ht="12.75">
      <c r="A170" s="43"/>
      <c r="B170" s="35"/>
      <c r="C170" s="73"/>
      <c r="D170" s="35"/>
      <c r="E170" s="35"/>
      <c r="F170" s="35"/>
      <c r="G170" s="35"/>
      <c r="H170" s="35"/>
      <c r="I170" s="35"/>
      <c r="J170" s="35"/>
      <c r="K170" s="35"/>
      <c r="L170" s="35"/>
      <c r="M170" s="36"/>
      <c r="N170" s="35"/>
      <c r="O170" s="35"/>
      <c r="P170" s="53"/>
      <c r="Q170" s="49"/>
      <c r="R170" s="35"/>
      <c r="S170" s="35"/>
      <c r="T170" s="35"/>
      <c r="U170" s="35"/>
    </row>
    <row r="171" spans="1:21" s="32" customFormat="1" ht="12.75">
      <c r="A171" s="43"/>
      <c r="B171" s="35"/>
      <c r="C171" s="73"/>
      <c r="D171" s="35"/>
      <c r="E171" s="35"/>
      <c r="F171" s="35"/>
      <c r="G171" s="35"/>
      <c r="H171" s="35"/>
      <c r="I171" s="35"/>
      <c r="J171" s="35"/>
      <c r="K171" s="35"/>
      <c r="L171" s="35"/>
      <c r="M171" s="36"/>
      <c r="N171" s="35"/>
      <c r="O171" s="35"/>
      <c r="P171" s="53"/>
      <c r="Q171" s="49"/>
      <c r="R171" s="35"/>
      <c r="S171" s="35"/>
      <c r="T171" s="35"/>
      <c r="U171" s="35"/>
    </row>
    <row r="172" spans="1:21" s="32" customFormat="1" ht="12.75">
      <c r="A172" s="43"/>
      <c r="B172" s="35"/>
      <c r="C172" s="73"/>
      <c r="D172" s="35"/>
      <c r="E172" s="35"/>
      <c r="F172" s="35"/>
      <c r="G172" s="35"/>
      <c r="H172" s="35"/>
      <c r="I172" s="35"/>
      <c r="J172" s="35"/>
      <c r="K172" s="35"/>
      <c r="L172" s="35"/>
      <c r="M172" s="36"/>
      <c r="N172" s="35"/>
      <c r="O172" s="35"/>
      <c r="P172" s="53"/>
      <c r="Q172" s="49"/>
      <c r="R172" s="35"/>
      <c r="S172" s="35"/>
      <c r="T172" s="35"/>
      <c r="U172" s="35"/>
    </row>
    <row r="173" spans="1:21" s="32" customFormat="1" ht="12.75">
      <c r="A173" s="43"/>
      <c r="B173" s="35"/>
      <c r="C173" s="73"/>
      <c r="D173" s="35"/>
      <c r="E173" s="35"/>
      <c r="F173" s="35"/>
      <c r="G173" s="35"/>
      <c r="H173" s="35"/>
      <c r="I173" s="35"/>
      <c r="J173" s="35"/>
      <c r="K173" s="35"/>
      <c r="L173" s="35"/>
      <c r="M173" s="36"/>
      <c r="N173" s="35"/>
      <c r="O173" s="35"/>
      <c r="P173" s="53"/>
      <c r="Q173" s="49"/>
      <c r="R173" s="35"/>
      <c r="S173" s="35"/>
      <c r="T173" s="35"/>
      <c r="U173" s="35"/>
    </row>
    <row r="174" spans="1:21" s="32" customFormat="1" ht="12.75">
      <c r="A174" s="43"/>
      <c r="B174" s="35"/>
      <c r="C174" s="73"/>
      <c r="D174" s="35"/>
      <c r="E174" s="35"/>
      <c r="F174" s="35"/>
      <c r="G174" s="35"/>
      <c r="H174" s="35"/>
      <c r="I174" s="35"/>
      <c r="J174" s="35"/>
      <c r="K174" s="35"/>
      <c r="L174" s="35"/>
      <c r="M174" s="36"/>
      <c r="N174" s="35"/>
      <c r="O174" s="35"/>
      <c r="P174" s="53"/>
      <c r="Q174" s="49"/>
      <c r="R174" s="35"/>
      <c r="S174" s="35"/>
      <c r="T174" s="35"/>
      <c r="U174" s="35"/>
    </row>
    <row r="175" spans="1:21" s="32" customFormat="1" ht="12.75">
      <c r="A175" s="43"/>
      <c r="B175" s="35"/>
      <c r="C175" s="73"/>
      <c r="D175" s="35"/>
      <c r="E175" s="35"/>
      <c r="F175" s="35"/>
      <c r="G175" s="35"/>
      <c r="H175" s="35"/>
      <c r="I175" s="35"/>
      <c r="J175" s="35"/>
      <c r="K175" s="35"/>
      <c r="L175" s="35"/>
      <c r="M175" s="36"/>
      <c r="N175" s="35"/>
      <c r="O175" s="35"/>
      <c r="P175" s="53"/>
      <c r="Q175" s="49"/>
      <c r="R175" s="35"/>
      <c r="S175" s="35"/>
      <c r="T175" s="35"/>
      <c r="U175" s="35"/>
    </row>
    <row r="176" spans="1:21" s="32" customFormat="1" ht="12.75">
      <c r="A176" s="43"/>
      <c r="B176" s="35"/>
      <c r="C176" s="73"/>
      <c r="D176" s="35"/>
      <c r="E176" s="35"/>
      <c r="F176" s="35"/>
      <c r="G176" s="35"/>
      <c r="H176" s="35"/>
      <c r="I176" s="35"/>
      <c r="J176" s="35"/>
      <c r="K176" s="35"/>
      <c r="L176" s="35"/>
      <c r="M176" s="36"/>
      <c r="N176" s="35"/>
      <c r="O176" s="35"/>
      <c r="P176" s="53"/>
      <c r="Q176" s="49"/>
      <c r="R176" s="35"/>
      <c r="S176" s="35"/>
      <c r="T176" s="35"/>
      <c r="U176" s="35"/>
    </row>
    <row r="177" spans="1:21" s="32" customFormat="1" ht="12.75">
      <c r="A177" s="43"/>
      <c r="B177" s="35"/>
      <c r="C177" s="73"/>
      <c r="D177" s="35"/>
      <c r="E177" s="35"/>
      <c r="F177" s="35"/>
      <c r="G177" s="35"/>
      <c r="H177" s="35"/>
      <c r="I177" s="35"/>
      <c r="J177" s="35"/>
      <c r="K177" s="35"/>
      <c r="L177" s="35"/>
      <c r="M177" s="36"/>
      <c r="N177" s="35"/>
      <c r="O177" s="35"/>
      <c r="P177" s="53"/>
      <c r="Q177" s="49"/>
      <c r="R177" s="35"/>
      <c r="S177" s="35"/>
      <c r="T177" s="35"/>
      <c r="U177" s="35"/>
    </row>
    <row r="178" spans="1:21" s="32" customFormat="1" ht="12.75">
      <c r="A178" s="43"/>
      <c r="B178" s="35"/>
      <c r="C178" s="73"/>
      <c r="D178" s="35"/>
      <c r="E178" s="35"/>
      <c r="F178" s="35"/>
      <c r="G178" s="35"/>
      <c r="H178" s="35"/>
      <c r="I178" s="35"/>
      <c r="J178" s="35"/>
      <c r="K178" s="35"/>
      <c r="L178" s="35"/>
      <c r="M178" s="36"/>
      <c r="N178" s="35"/>
      <c r="O178" s="35"/>
      <c r="P178" s="53"/>
      <c r="Q178" s="49"/>
      <c r="R178" s="35"/>
      <c r="S178" s="35"/>
      <c r="T178" s="35"/>
      <c r="U178" s="35"/>
    </row>
    <row r="179" spans="1:21" s="32" customFormat="1" ht="12.75">
      <c r="A179" s="43"/>
      <c r="B179" s="35"/>
      <c r="C179" s="73"/>
      <c r="D179" s="35"/>
      <c r="E179" s="35"/>
      <c r="F179" s="35"/>
      <c r="G179" s="35"/>
      <c r="H179" s="35"/>
      <c r="I179" s="35"/>
      <c r="J179" s="35"/>
      <c r="K179" s="35"/>
      <c r="L179" s="35"/>
      <c r="M179" s="36"/>
      <c r="N179" s="35"/>
      <c r="O179" s="35"/>
      <c r="P179" s="53"/>
      <c r="Q179" s="49"/>
      <c r="R179" s="35"/>
      <c r="S179" s="35"/>
      <c r="T179" s="35"/>
      <c r="U179" s="35"/>
    </row>
    <row r="180" spans="1:21" s="32" customFormat="1" ht="12.75">
      <c r="A180" s="43"/>
      <c r="B180" s="35"/>
      <c r="C180" s="73"/>
      <c r="D180" s="35"/>
      <c r="E180" s="35"/>
      <c r="F180" s="35"/>
      <c r="G180" s="35"/>
      <c r="H180" s="35"/>
      <c r="I180" s="35"/>
      <c r="J180" s="35"/>
      <c r="K180" s="35"/>
      <c r="L180" s="35"/>
      <c r="M180" s="36"/>
      <c r="N180" s="35"/>
      <c r="O180" s="35"/>
      <c r="P180" s="53"/>
      <c r="Q180" s="49"/>
      <c r="R180" s="35"/>
      <c r="S180" s="35"/>
      <c r="T180" s="35"/>
      <c r="U180" s="35"/>
    </row>
    <row r="181" spans="1:21" s="32" customFormat="1" ht="12.75">
      <c r="A181" s="43"/>
      <c r="B181" s="35"/>
      <c r="C181" s="73"/>
      <c r="D181" s="35"/>
      <c r="E181" s="35"/>
      <c r="F181" s="35"/>
      <c r="G181" s="35"/>
      <c r="H181" s="35"/>
      <c r="I181" s="35"/>
      <c r="J181" s="35"/>
      <c r="K181" s="35"/>
      <c r="L181" s="35"/>
      <c r="M181" s="36"/>
      <c r="N181" s="35"/>
      <c r="O181" s="35"/>
      <c r="P181" s="53"/>
      <c r="Q181" s="49"/>
      <c r="R181" s="35"/>
      <c r="S181" s="35"/>
      <c r="T181" s="35"/>
      <c r="U181" s="35"/>
    </row>
    <row r="182" spans="1:21" s="32" customFormat="1" ht="12.75">
      <c r="A182" s="43"/>
      <c r="B182" s="35"/>
      <c r="C182" s="73"/>
      <c r="D182" s="35"/>
      <c r="E182" s="35"/>
      <c r="F182" s="35"/>
      <c r="G182" s="35"/>
      <c r="H182" s="35"/>
      <c r="I182" s="35"/>
      <c r="J182" s="35"/>
      <c r="K182" s="35"/>
      <c r="L182" s="35"/>
      <c r="M182" s="36"/>
      <c r="N182" s="35"/>
      <c r="O182" s="35"/>
      <c r="P182" s="53"/>
      <c r="Q182" s="49"/>
      <c r="R182" s="35"/>
      <c r="S182" s="35"/>
      <c r="T182" s="35"/>
      <c r="U182" s="35"/>
    </row>
    <row r="183" spans="1:21" s="32" customFormat="1" ht="12.75">
      <c r="A183" s="43"/>
      <c r="B183" s="35"/>
      <c r="C183" s="73"/>
      <c r="D183" s="35"/>
      <c r="E183" s="35"/>
      <c r="F183" s="35"/>
      <c r="G183" s="35"/>
      <c r="H183" s="35"/>
      <c r="I183" s="35"/>
      <c r="J183" s="35"/>
      <c r="K183" s="35"/>
      <c r="L183" s="35"/>
      <c r="M183" s="36"/>
      <c r="N183" s="35"/>
      <c r="O183" s="35"/>
      <c r="P183" s="53"/>
      <c r="Q183" s="49"/>
      <c r="R183" s="35"/>
      <c r="S183" s="35"/>
      <c r="T183" s="35"/>
      <c r="U183" s="35"/>
    </row>
    <row r="184" spans="1:21" s="32" customFormat="1" ht="12.75">
      <c r="A184" s="43"/>
      <c r="B184" s="35"/>
      <c r="C184" s="73"/>
      <c r="D184" s="35"/>
      <c r="E184" s="35"/>
      <c r="F184" s="35"/>
      <c r="G184" s="35"/>
      <c r="H184" s="35"/>
      <c r="I184" s="35"/>
      <c r="J184" s="35"/>
      <c r="K184" s="35"/>
      <c r="L184" s="35"/>
      <c r="M184" s="36"/>
      <c r="N184" s="35"/>
      <c r="O184" s="35"/>
      <c r="P184" s="53"/>
      <c r="Q184" s="49"/>
      <c r="R184" s="35"/>
      <c r="S184" s="35"/>
      <c r="T184" s="35"/>
      <c r="U184" s="35"/>
    </row>
    <row r="185" spans="1:21" s="32" customFormat="1" ht="12.75">
      <c r="A185" s="43"/>
      <c r="B185" s="35"/>
      <c r="C185" s="73"/>
      <c r="D185" s="35"/>
      <c r="E185" s="35"/>
      <c r="F185" s="35"/>
      <c r="G185" s="35"/>
      <c r="H185" s="35"/>
      <c r="I185" s="35"/>
      <c r="J185" s="35"/>
      <c r="K185" s="35"/>
      <c r="L185" s="35"/>
      <c r="M185" s="36"/>
      <c r="N185" s="35"/>
      <c r="O185" s="35"/>
      <c r="P185" s="53"/>
      <c r="Q185" s="49"/>
      <c r="R185" s="35"/>
      <c r="S185" s="35"/>
      <c r="T185" s="35"/>
      <c r="U185" s="35"/>
    </row>
    <row r="186" spans="1:21" s="32" customFormat="1" ht="12.75">
      <c r="A186" s="43"/>
      <c r="B186" s="35"/>
      <c r="C186" s="73"/>
      <c r="D186" s="35"/>
      <c r="E186" s="35"/>
      <c r="F186" s="39"/>
      <c r="G186" s="35"/>
      <c r="H186" s="35"/>
      <c r="I186" s="35"/>
      <c r="J186" s="35"/>
      <c r="K186" s="35"/>
      <c r="L186" s="35"/>
      <c r="M186" s="36"/>
      <c r="N186" s="35"/>
      <c r="O186" s="35"/>
      <c r="P186" s="53"/>
      <c r="Q186" s="49"/>
      <c r="R186" s="35"/>
      <c r="S186" s="35"/>
      <c r="T186" s="35"/>
      <c r="U186" s="35"/>
    </row>
    <row r="187" spans="1:21" s="32" customFormat="1" ht="12.75">
      <c r="A187" s="43"/>
      <c r="B187" s="35"/>
      <c r="C187" s="73"/>
      <c r="D187" s="35"/>
      <c r="E187" s="35"/>
      <c r="F187" s="35"/>
      <c r="G187" s="35"/>
      <c r="H187" s="35"/>
      <c r="I187" s="35"/>
      <c r="J187" s="35"/>
      <c r="K187" s="35"/>
      <c r="L187" s="35"/>
      <c r="M187" s="36"/>
      <c r="N187" s="35"/>
      <c r="O187" s="35"/>
      <c r="P187" s="53"/>
      <c r="Q187" s="49"/>
      <c r="R187" s="35"/>
      <c r="S187" s="35"/>
      <c r="T187" s="35"/>
      <c r="U187" s="35"/>
    </row>
    <row r="188" spans="1:21" s="32" customFormat="1" ht="12.75">
      <c r="A188" s="43"/>
      <c r="B188" s="35"/>
      <c r="C188" s="73"/>
      <c r="D188" s="35"/>
      <c r="E188" s="35"/>
      <c r="F188" s="35"/>
      <c r="G188" s="35"/>
      <c r="H188" s="35"/>
      <c r="I188" s="35"/>
      <c r="J188" s="35"/>
      <c r="K188" s="35"/>
      <c r="L188" s="35"/>
      <c r="M188" s="36"/>
      <c r="N188" s="35"/>
      <c r="O188" s="35"/>
      <c r="P188" s="53"/>
      <c r="Q188" s="49"/>
      <c r="R188" s="35"/>
      <c r="S188" s="35"/>
      <c r="T188" s="35"/>
      <c r="U188" s="35"/>
    </row>
    <row r="189" spans="1:21" s="32" customFormat="1" ht="12.75">
      <c r="A189" s="43"/>
      <c r="B189" s="35"/>
      <c r="C189" s="73"/>
      <c r="D189" s="35"/>
      <c r="E189" s="35"/>
      <c r="F189" s="35"/>
      <c r="G189" s="35"/>
      <c r="H189" s="35"/>
      <c r="I189" s="35"/>
      <c r="J189" s="35"/>
      <c r="K189" s="35"/>
      <c r="L189" s="35"/>
      <c r="M189" s="36"/>
      <c r="N189" s="35"/>
      <c r="O189" s="35"/>
      <c r="P189" s="53"/>
      <c r="Q189" s="49"/>
      <c r="R189" s="35"/>
      <c r="S189" s="35"/>
      <c r="T189" s="35"/>
      <c r="U189" s="35"/>
    </row>
    <row r="190" spans="1:21" s="32" customFormat="1" ht="12.75">
      <c r="A190" s="43"/>
      <c r="B190" s="35"/>
      <c r="C190" s="73"/>
      <c r="D190" s="35"/>
      <c r="E190" s="35"/>
      <c r="F190" s="35"/>
      <c r="G190" s="35"/>
      <c r="H190" s="35"/>
      <c r="I190" s="35"/>
      <c r="J190" s="35"/>
      <c r="K190" s="35"/>
      <c r="L190" s="35"/>
      <c r="M190" s="36"/>
      <c r="N190" s="35"/>
      <c r="O190" s="35"/>
      <c r="P190" s="53"/>
      <c r="Q190" s="49"/>
      <c r="R190" s="35"/>
      <c r="S190" s="35"/>
      <c r="T190" s="35"/>
      <c r="U190" s="35"/>
    </row>
    <row r="191" spans="1:21" s="32" customFormat="1" ht="12.75">
      <c r="A191" s="43"/>
      <c r="B191" s="35"/>
      <c r="C191" s="73"/>
      <c r="D191" s="35"/>
      <c r="E191" s="35"/>
      <c r="F191" s="35"/>
      <c r="G191" s="35"/>
      <c r="H191" s="35"/>
      <c r="I191" s="35"/>
      <c r="J191" s="35"/>
      <c r="K191" s="35"/>
      <c r="L191" s="35"/>
      <c r="M191" s="36"/>
      <c r="N191" s="35"/>
      <c r="O191" s="35"/>
      <c r="P191" s="53"/>
      <c r="Q191" s="49"/>
      <c r="R191" s="35"/>
      <c r="S191" s="35"/>
      <c r="T191" s="35"/>
      <c r="U191" s="35"/>
    </row>
    <row r="192" spans="1:21" s="32" customFormat="1" ht="12.75">
      <c r="A192" s="43"/>
      <c r="B192" s="35"/>
      <c r="C192" s="73"/>
      <c r="D192" s="35"/>
      <c r="E192" s="35"/>
      <c r="F192" s="35"/>
      <c r="G192" s="35"/>
      <c r="H192" s="35"/>
      <c r="I192" s="35"/>
      <c r="J192" s="35"/>
      <c r="K192" s="35"/>
      <c r="L192" s="35"/>
      <c r="M192" s="36"/>
      <c r="N192" s="35"/>
      <c r="O192" s="35"/>
      <c r="P192" s="53"/>
      <c r="Q192" s="49"/>
      <c r="R192" s="35"/>
      <c r="S192" s="35"/>
      <c r="T192" s="35"/>
      <c r="U192" s="35"/>
    </row>
    <row r="193" spans="1:21" s="32" customFormat="1" ht="12.75">
      <c r="A193" s="43"/>
      <c r="B193" s="35"/>
      <c r="C193" s="73"/>
      <c r="D193" s="35"/>
      <c r="E193" s="35"/>
      <c r="F193" s="35"/>
      <c r="G193" s="35"/>
      <c r="H193" s="35"/>
      <c r="I193" s="35"/>
      <c r="J193" s="35"/>
      <c r="K193" s="35"/>
      <c r="L193" s="35"/>
      <c r="M193" s="36"/>
      <c r="N193" s="35"/>
      <c r="O193" s="35"/>
      <c r="P193" s="53"/>
      <c r="Q193" s="49"/>
      <c r="R193" s="35"/>
      <c r="S193" s="35"/>
      <c r="T193" s="35"/>
      <c r="U193" s="35"/>
    </row>
    <row r="194" spans="1:21" s="32" customFormat="1" ht="12.75">
      <c r="A194" s="43"/>
      <c r="B194" s="35"/>
      <c r="C194" s="73"/>
      <c r="D194" s="35"/>
      <c r="E194" s="35"/>
      <c r="F194" s="35"/>
      <c r="G194" s="35"/>
      <c r="H194" s="35"/>
      <c r="I194" s="35"/>
      <c r="J194" s="35"/>
      <c r="K194" s="35"/>
      <c r="L194" s="35"/>
      <c r="M194" s="36"/>
      <c r="N194" s="35"/>
      <c r="O194" s="35"/>
      <c r="P194" s="53"/>
      <c r="Q194" s="49"/>
      <c r="R194" s="35"/>
      <c r="S194" s="35"/>
      <c r="T194" s="35"/>
      <c r="U194" s="35"/>
    </row>
    <row r="195" spans="1:21" s="32" customFormat="1" ht="12.75">
      <c r="A195" s="43"/>
      <c r="B195" s="35"/>
      <c r="C195" s="73"/>
      <c r="D195" s="35"/>
      <c r="E195" s="35"/>
      <c r="F195" s="35"/>
      <c r="G195" s="35"/>
      <c r="H195" s="35"/>
      <c r="I195" s="35"/>
      <c r="J195" s="35"/>
      <c r="K195" s="35"/>
      <c r="L195" s="35"/>
      <c r="M195" s="36"/>
      <c r="N195" s="35"/>
      <c r="O195" s="35"/>
      <c r="P195" s="53"/>
      <c r="Q195" s="49"/>
      <c r="R195" s="35"/>
      <c r="S195" s="35"/>
      <c r="T195" s="35"/>
      <c r="U195" s="35"/>
    </row>
    <row r="196" spans="1:21" s="32" customFormat="1" ht="12.75">
      <c r="A196" s="43"/>
      <c r="B196" s="35"/>
      <c r="C196" s="73"/>
      <c r="D196" s="35"/>
      <c r="E196" s="35"/>
      <c r="F196" s="35"/>
      <c r="G196" s="35"/>
      <c r="H196" s="35"/>
      <c r="I196" s="35"/>
      <c r="J196" s="35"/>
      <c r="K196" s="35"/>
      <c r="L196" s="35"/>
      <c r="M196" s="36"/>
      <c r="N196" s="35"/>
      <c r="O196" s="35"/>
      <c r="P196" s="53"/>
      <c r="Q196" s="49"/>
      <c r="R196" s="35"/>
      <c r="S196" s="35"/>
      <c r="T196" s="35"/>
      <c r="U196" s="35"/>
    </row>
    <row r="197" spans="1:21" s="32" customFormat="1" ht="12.75">
      <c r="A197" s="43"/>
      <c r="B197" s="35"/>
      <c r="C197" s="73"/>
      <c r="D197" s="35"/>
      <c r="E197" s="35"/>
      <c r="F197" s="35"/>
      <c r="G197" s="35"/>
      <c r="H197" s="35"/>
      <c r="I197" s="35"/>
      <c r="J197" s="35"/>
      <c r="K197" s="35"/>
      <c r="L197" s="35"/>
      <c r="M197" s="36"/>
      <c r="N197" s="35"/>
      <c r="O197" s="35"/>
      <c r="P197" s="53"/>
      <c r="Q197" s="49"/>
      <c r="R197" s="35"/>
      <c r="S197" s="35"/>
      <c r="T197" s="35"/>
      <c r="U197" s="35"/>
    </row>
    <row r="198" spans="1:21" s="32" customFormat="1" ht="12.75">
      <c r="A198" s="43"/>
      <c r="B198" s="35"/>
      <c r="C198" s="73"/>
      <c r="D198" s="35"/>
      <c r="E198" s="35"/>
      <c r="F198" s="35"/>
      <c r="G198" s="35"/>
      <c r="H198" s="35"/>
      <c r="I198" s="35"/>
      <c r="J198" s="35"/>
      <c r="K198" s="35"/>
      <c r="L198" s="35"/>
      <c r="M198" s="36"/>
      <c r="N198" s="35"/>
      <c r="O198" s="35"/>
      <c r="P198" s="53"/>
      <c r="Q198" s="49"/>
      <c r="R198" s="35"/>
      <c r="S198" s="35"/>
      <c r="T198" s="35"/>
      <c r="U198" s="35"/>
    </row>
    <row r="199" spans="1:21" s="32" customFormat="1" ht="12.75">
      <c r="A199" s="43"/>
      <c r="B199" s="35"/>
      <c r="C199" s="73"/>
      <c r="D199" s="35"/>
      <c r="E199" s="35"/>
      <c r="F199" s="35"/>
      <c r="G199" s="35"/>
      <c r="H199" s="35"/>
      <c r="I199" s="35"/>
      <c r="J199" s="35"/>
      <c r="K199" s="35"/>
      <c r="L199" s="35"/>
      <c r="M199" s="36"/>
      <c r="N199" s="35"/>
      <c r="O199" s="35"/>
      <c r="P199" s="53"/>
      <c r="Q199" s="49"/>
      <c r="R199" s="35"/>
      <c r="S199" s="35"/>
      <c r="T199" s="35"/>
      <c r="U199" s="35"/>
    </row>
    <row r="200" spans="1:21" s="32" customFormat="1" ht="12.75">
      <c r="A200" s="43"/>
      <c r="B200" s="35"/>
      <c r="C200" s="73"/>
      <c r="D200" s="35"/>
      <c r="E200" s="35"/>
      <c r="F200" s="35"/>
      <c r="G200" s="35"/>
      <c r="H200" s="35"/>
      <c r="I200" s="35"/>
      <c r="J200" s="35"/>
      <c r="K200" s="35"/>
      <c r="L200" s="35"/>
      <c r="M200" s="36"/>
      <c r="N200" s="35"/>
      <c r="O200" s="35"/>
      <c r="P200" s="53"/>
      <c r="Q200" s="49"/>
      <c r="R200" s="35"/>
      <c r="S200" s="35"/>
      <c r="T200" s="35"/>
      <c r="U200" s="35"/>
    </row>
    <row r="201" spans="1:21" s="32" customFormat="1" ht="12.75">
      <c r="A201" s="43"/>
      <c r="B201" s="35"/>
      <c r="C201" s="73"/>
      <c r="D201" s="35"/>
      <c r="E201" s="35"/>
      <c r="F201" s="35"/>
      <c r="G201" s="35"/>
      <c r="H201" s="35"/>
      <c r="I201" s="35"/>
      <c r="J201" s="35"/>
      <c r="K201" s="35"/>
      <c r="L201" s="35"/>
      <c r="M201" s="36"/>
      <c r="N201" s="35"/>
      <c r="O201" s="35"/>
      <c r="P201" s="53"/>
      <c r="Q201" s="49"/>
      <c r="R201" s="35"/>
      <c r="S201" s="35"/>
      <c r="T201" s="35"/>
      <c r="U201" s="35"/>
    </row>
    <row r="202" spans="1:21" s="32" customFormat="1" ht="12.75">
      <c r="A202" s="43"/>
      <c r="B202" s="35"/>
      <c r="C202" s="73"/>
      <c r="D202" s="35"/>
      <c r="E202" s="35"/>
      <c r="F202" s="35"/>
      <c r="G202" s="35"/>
      <c r="H202" s="35"/>
      <c r="I202" s="35"/>
      <c r="J202" s="35"/>
      <c r="K202" s="35"/>
      <c r="L202" s="35"/>
      <c r="M202" s="36"/>
      <c r="N202" s="35"/>
      <c r="O202" s="35"/>
      <c r="P202" s="53"/>
      <c r="Q202" s="49"/>
      <c r="R202" s="35"/>
      <c r="S202" s="35"/>
      <c r="T202" s="35"/>
      <c r="U202" s="35"/>
    </row>
    <row r="203" spans="1:21" s="32" customFormat="1" ht="12.75">
      <c r="A203" s="43"/>
      <c r="B203" s="35"/>
      <c r="C203" s="73"/>
      <c r="D203" s="35"/>
      <c r="E203" s="35"/>
      <c r="F203" s="35"/>
      <c r="G203" s="35"/>
      <c r="H203" s="35"/>
      <c r="I203" s="35"/>
      <c r="J203" s="35"/>
      <c r="K203" s="35"/>
      <c r="L203" s="35"/>
      <c r="M203" s="36"/>
      <c r="N203" s="35"/>
      <c r="O203" s="35"/>
      <c r="P203" s="53"/>
      <c r="Q203" s="49"/>
      <c r="R203" s="35"/>
      <c r="S203" s="35"/>
      <c r="T203" s="35"/>
      <c r="U203" s="35"/>
    </row>
    <row r="204" spans="1:21" s="32" customFormat="1" ht="12.75">
      <c r="A204" s="43"/>
      <c r="B204" s="35"/>
      <c r="C204" s="73"/>
      <c r="D204" s="35"/>
      <c r="E204" s="35"/>
      <c r="F204" s="35"/>
      <c r="G204" s="35"/>
      <c r="H204" s="35"/>
      <c r="I204" s="35"/>
      <c r="J204" s="35"/>
      <c r="K204" s="35"/>
      <c r="L204" s="35"/>
      <c r="M204" s="36"/>
      <c r="N204" s="35"/>
      <c r="O204" s="35"/>
      <c r="P204" s="53"/>
      <c r="Q204" s="49"/>
      <c r="R204" s="35"/>
      <c r="S204" s="35"/>
      <c r="T204" s="35"/>
      <c r="U204" s="35"/>
    </row>
  </sheetData>
  <sheetProtection formatCells="0" formatColumns="0" formatRows="0" insertColumns="0" insertRows="0" insertHyperlinks="0" deleteColumns="0" deleteRows="0" sort="0" autoFilter="0" pivotTables="0"/>
  <protectedRanges>
    <protectedRange sqref="A1:U1" name="Oblast1"/>
  </protectedRanges>
  <mergeCells count="1">
    <mergeCell ref="A1:U1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8" scale="60" r:id="rId1"/>
  <ignoredErrors>
    <ignoredError sqref="Q77:Q87 R29:R170 R5:R24 T19:T24 T5:T17 U5:U18" unlockedFormula="1"/>
    <ignoredError sqref="T83:T88 U56:U69" evalError="1"/>
    <ignoredError sqref="X81:X88" formula="1"/>
    <ignoredError sqref="S5:S24 T18 U19:U24" emptyCellReference="1" unlockedFormula="1"/>
    <ignoredError sqref="T18" formulaRange="1" unlockedFormula="1"/>
    <ignoredError sqref="U19:U24" evalError="1" unlockedFormula="1"/>
    <ignoredError sqref="C29:C56 C5:C2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E207"/>
  <sheetViews>
    <sheetView zoomScalePageLayoutView="0" workbookViewId="0" topLeftCell="B1">
      <selection activeCell="F9" sqref="F9"/>
    </sheetView>
  </sheetViews>
  <sheetFormatPr defaultColWidth="9.140625" defaultRowHeight="12.75"/>
  <cols>
    <col min="1" max="1" width="21.57421875" style="260" customWidth="1"/>
    <col min="2" max="2" width="6.7109375" style="278" customWidth="1"/>
    <col min="3" max="3" width="12.57421875" style="70" customWidth="1"/>
    <col min="4" max="4" width="17.421875" style="278" bestFit="1" customWidth="1"/>
    <col min="5" max="5" width="15.7109375" style="298" customWidth="1"/>
    <col min="6" max="6" width="35.7109375" style="316" customWidth="1"/>
    <col min="7" max="12" width="9.421875" style="3" bestFit="1" customWidth="1"/>
    <col min="13" max="13" width="9.421875" style="14" bestFit="1" customWidth="1"/>
    <col min="14" max="15" width="9.421875" style="3" bestFit="1" customWidth="1"/>
    <col min="16" max="16" width="9.421875" style="75" bestFit="1" customWidth="1"/>
    <col min="17" max="17" width="9.28125" style="50" bestFit="1" customWidth="1"/>
    <col min="18" max="18" width="10.00390625" style="3" bestFit="1" customWidth="1"/>
    <col min="19" max="19" width="9.421875" style="35" bestFit="1" customWidth="1"/>
    <col min="20" max="20" width="10.140625" style="3" bestFit="1" customWidth="1"/>
    <col min="21" max="21" width="9.140625" style="3" customWidth="1"/>
    <col min="22" max="22" width="12.140625" style="0" customWidth="1"/>
    <col min="23" max="23" width="15.140625" style="0" customWidth="1"/>
    <col min="24" max="24" width="13.28125" style="0" customWidth="1"/>
  </cols>
  <sheetData>
    <row r="1" spans="1:21" s="127" customFormat="1" ht="26.25">
      <c r="A1" s="514" t="s">
        <v>290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</row>
    <row r="2" spans="1:21" ht="15.75" thickBot="1">
      <c r="A2" s="105"/>
      <c r="B2" s="128"/>
      <c r="C2" s="71"/>
      <c r="D2" s="128"/>
      <c r="E2" s="289"/>
      <c r="F2" s="299"/>
      <c r="G2" s="14"/>
      <c r="H2" s="14"/>
      <c r="I2" s="14"/>
      <c r="J2" s="14"/>
      <c r="K2" s="14"/>
      <c r="L2" s="14"/>
      <c r="M2" s="222"/>
      <c r="N2" s="14"/>
      <c r="O2" s="14"/>
      <c r="P2" s="166"/>
      <c r="Q2" s="46"/>
      <c r="R2" s="14"/>
      <c r="S2" s="36"/>
      <c r="T2" s="14"/>
      <c r="U2" s="14"/>
    </row>
    <row r="3" spans="1:21" s="227" customFormat="1" ht="15.75" thickBot="1">
      <c r="A3" s="239" t="s">
        <v>291</v>
      </c>
      <c r="B3" s="232"/>
      <c r="C3" s="224"/>
      <c r="D3" s="232"/>
      <c r="E3" s="290"/>
      <c r="F3" s="300"/>
      <c r="G3" s="223"/>
      <c r="H3" s="223"/>
      <c r="I3" s="223"/>
      <c r="J3" s="223"/>
      <c r="K3" s="223"/>
      <c r="L3" s="223"/>
      <c r="M3" s="166"/>
      <c r="N3" s="223"/>
      <c r="O3" s="223"/>
      <c r="P3" s="223"/>
      <c r="Q3" s="47"/>
      <c r="R3" s="223"/>
      <c r="S3" s="225"/>
      <c r="T3" s="223"/>
      <c r="U3" s="226"/>
    </row>
    <row r="4" spans="1:31" s="159" customFormat="1" ht="31.5" customHeight="1" thickBot="1">
      <c r="A4" s="240" t="s">
        <v>9</v>
      </c>
      <c r="B4" s="317" t="s">
        <v>5</v>
      </c>
      <c r="C4" s="228" t="s">
        <v>6</v>
      </c>
      <c r="D4" s="279" t="s">
        <v>64</v>
      </c>
      <c r="E4" s="291" t="s">
        <v>292</v>
      </c>
      <c r="F4" s="301" t="s">
        <v>293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229"/>
      <c r="R4" s="185"/>
      <c r="S4" s="185"/>
      <c r="T4" s="185"/>
      <c r="U4" s="185"/>
      <c r="V4" s="137"/>
      <c r="W4" s="185"/>
      <c r="X4" s="185"/>
      <c r="Y4" s="137"/>
      <c r="Z4" s="137"/>
      <c r="AA4" s="137"/>
      <c r="AB4" s="137"/>
      <c r="AC4" s="137"/>
      <c r="AD4" s="137"/>
      <c r="AE4" s="137"/>
    </row>
    <row r="5" spans="1:31" s="159" customFormat="1" ht="15" customHeight="1">
      <c r="A5" s="241" t="s">
        <v>133</v>
      </c>
      <c r="B5" s="318">
        <v>1975</v>
      </c>
      <c r="C5" s="182" t="s">
        <v>70</v>
      </c>
      <c r="D5" s="280" t="s">
        <v>130</v>
      </c>
      <c r="E5" s="292"/>
      <c r="F5" s="302"/>
      <c r="G5" s="44"/>
      <c r="H5" s="44"/>
      <c r="I5" s="44"/>
      <c r="J5" s="44"/>
      <c r="K5" s="44"/>
      <c r="L5" s="44"/>
      <c r="M5" s="44"/>
      <c r="N5" s="44"/>
      <c r="O5" s="44"/>
      <c r="P5" s="44"/>
      <c r="Q5" s="230"/>
      <c r="R5" s="44"/>
      <c r="S5" s="231"/>
      <c r="T5" s="167"/>
      <c r="U5" s="168"/>
      <c r="V5" s="137"/>
      <c r="W5" s="55"/>
      <c r="X5" s="55"/>
      <c r="Y5" s="137"/>
      <c r="Z5" s="137"/>
      <c r="AA5" s="137"/>
      <c r="AB5" s="137"/>
      <c r="AC5" s="137"/>
      <c r="AD5" s="137"/>
      <c r="AE5" s="137"/>
    </row>
    <row r="6" spans="1:31" s="159" customFormat="1" ht="15" customHeight="1">
      <c r="A6" s="242" t="s">
        <v>140</v>
      </c>
      <c r="B6" s="261">
        <v>1978</v>
      </c>
      <c r="C6" s="198" t="s">
        <v>102</v>
      </c>
      <c r="D6" s="281" t="s">
        <v>130</v>
      </c>
      <c r="E6" s="293"/>
      <c r="F6" s="303"/>
      <c r="G6" s="44"/>
      <c r="H6" s="44"/>
      <c r="I6" s="44"/>
      <c r="J6" s="44"/>
      <c r="K6" s="44"/>
      <c r="L6" s="44"/>
      <c r="M6" s="44"/>
      <c r="N6" s="44"/>
      <c r="O6" s="44"/>
      <c r="P6" s="44"/>
      <c r="Q6" s="230"/>
      <c r="R6" s="44"/>
      <c r="S6" s="41"/>
      <c r="T6" s="167"/>
      <c r="U6" s="168"/>
      <c r="V6" s="137"/>
      <c r="W6" s="55"/>
      <c r="X6" s="167"/>
      <c r="Y6" s="137"/>
      <c r="Z6" s="137"/>
      <c r="AA6" s="137"/>
      <c r="AB6" s="137"/>
      <c r="AC6" s="137"/>
      <c r="AD6" s="137"/>
      <c r="AE6" s="137"/>
    </row>
    <row r="7" spans="1:31" s="159" customFormat="1" ht="15" customHeight="1">
      <c r="A7" s="242" t="s">
        <v>138</v>
      </c>
      <c r="B7" s="263">
        <v>1993</v>
      </c>
      <c r="C7" s="197" t="s">
        <v>102</v>
      </c>
      <c r="D7" s="282" t="s">
        <v>55</v>
      </c>
      <c r="E7" s="293"/>
      <c r="F7" s="303"/>
      <c r="G7" s="44"/>
      <c r="H7" s="44"/>
      <c r="I7" s="44"/>
      <c r="J7" s="44"/>
      <c r="K7" s="44"/>
      <c r="L7" s="44"/>
      <c r="M7" s="44"/>
      <c r="N7" s="44"/>
      <c r="O7" s="44"/>
      <c r="P7" s="44"/>
      <c r="Q7" s="230"/>
      <c r="R7" s="44"/>
      <c r="S7" s="41"/>
      <c r="T7" s="167"/>
      <c r="U7" s="168"/>
      <c r="V7" s="137"/>
      <c r="W7" s="55"/>
      <c r="X7" s="167"/>
      <c r="Y7" s="137"/>
      <c r="Z7" s="137"/>
      <c r="AA7" s="137"/>
      <c r="AB7" s="137"/>
      <c r="AC7" s="137"/>
      <c r="AD7" s="137"/>
      <c r="AE7" s="137"/>
    </row>
    <row r="8" spans="1:31" s="159" customFormat="1" ht="15" customHeight="1">
      <c r="A8" s="242" t="s">
        <v>129</v>
      </c>
      <c r="B8" s="261">
        <v>1935</v>
      </c>
      <c r="C8" s="183" t="s">
        <v>71</v>
      </c>
      <c r="D8" s="282" t="s">
        <v>72</v>
      </c>
      <c r="E8" s="293">
        <v>728103961</v>
      </c>
      <c r="F8" s="303" t="s">
        <v>506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230"/>
      <c r="R8" s="44"/>
      <c r="S8" s="41"/>
      <c r="T8" s="167"/>
      <c r="U8" s="168"/>
      <c r="V8" s="137"/>
      <c r="W8" s="55"/>
      <c r="X8" s="167"/>
      <c r="Y8" s="137"/>
      <c r="Z8" s="137"/>
      <c r="AA8" s="137"/>
      <c r="AB8" s="137"/>
      <c r="AC8" s="137"/>
      <c r="AD8" s="137"/>
      <c r="AE8" s="137"/>
    </row>
    <row r="9" spans="1:31" s="159" customFormat="1" ht="15" customHeight="1">
      <c r="A9" s="243" t="s">
        <v>169</v>
      </c>
      <c r="B9" s="263">
        <v>1989</v>
      </c>
      <c r="C9" s="79">
        <v>33719</v>
      </c>
      <c r="D9" s="283" t="s">
        <v>163</v>
      </c>
      <c r="E9" s="293"/>
      <c r="F9" s="303"/>
      <c r="G9" s="44"/>
      <c r="H9" s="44"/>
      <c r="I9" s="44"/>
      <c r="J9" s="44"/>
      <c r="K9" s="44"/>
      <c r="L9" s="44"/>
      <c r="M9" s="44"/>
      <c r="N9" s="44"/>
      <c r="O9" s="44"/>
      <c r="P9" s="44"/>
      <c r="Q9" s="230"/>
      <c r="R9" s="44"/>
      <c r="S9" s="41"/>
      <c r="T9" s="167"/>
      <c r="U9" s="168"/>
      <c r="V9" s="137"/>
      <c r="W9" s="55"/>
      <c r="X9" s="167"/>
      <c r="Y9" s="137"/>
      <c r="Z9" s="137"/>
      <c r="AA9" s="137"/>
      <c r="AB9" s="137"/>
      <c r="AC9" s="137"/>
      <c r="AD9" s="137"/>
      <c r="AE9" s="137"/>
    </row>
    <row r="10" spans="1:31" s="159" customFormat="1" ht="15" customHeight="1">
      <c r="A10" s="244" t="s">
        <v>168</v>
      </c>
      <c r="B10" s="265">
        <v>1964</v>
      </c>
      <c r="C10" s="100" t="s">
        <v>166</v>
      </c>
      <c r="D10" s="281" t="s">
        <v>163</v>
      </c>
      <c r="E10" s="293"/>
      <c r="F10" s="303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230"/>
      <c r="R10" s="44"/>
      <c r="S10" s="41"/>
      <c r="T10" s="167"/>
      <c r="U10" s="168"/>
      <c r="V10" s="137"/>
      <c r="W10" s="55"/>
      <c r="X10" s="167"/>
      <c r="Y10" s="137"/>
      <c r="Z10" s="137"/>
      <c r="AA10" s="137"/>
      <c r="AB10" s="137"/>
      <c r="AC10" s="137"/>
      <c r="AD10" s="137"/>
      <c r="AE10" s="137"/>
    </row>
    <row r="11" spans="1:31" s="159" customFormat="1" ht="15" customHeight="1">
      <c r="A11" s="242" t="s">
        <v>141</v>
      </c>
      <c r="B11" s="261">
        <v>1949</v>
      </c>
      <c r="C11" s="183" t="s">
        <v>267</v>
      </c>
      <c r="D11" s="282" t="s">
        <v>55</v>
      </c>
      <c r="E11" s="293"/>
      <c r="F11" s="303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230"/>
      <c r="R11" s="44"/>
      <c r="S11" s="41"/>
      <c r="T11" s="167"/>
      <c r="U11" s="168"/>
      <c r="V11" s="137"/>
      <c r="W11" s="55"/>
      <c r="X11" s="167"/>
      <c r="Y11" s="137"/>
      <c r="Z11" s="137"/>
      <c r="AA11" s="137"/>
      <c r="AB11" s="137"/>
      <c r="AC11" s="137"/>
      <c r="AD11" s="137"/>
      <c r="AE11" s="137"/>
    </row>
    <row r="12" spans="1:24" s="137" customFormat="1" ht="15" customHeight="1">
      <c r="A12" s="242" t="s">
        <v>54</v>
      </c>
      <c r="B12" s="261">
        <v>1990</v>
      </c>
      <c r="C12" s="183">
        <v>35211</v>
      </c>
      <c r="D12" s="282" t="s">
        <v>60</v>
      </c>
      <c r="E12" s="293"/>
      <c r="F12" s="303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230"/>
      <c r="R12" s="44"/>
      <c r="S12" s="41"/>
      <c r="T12" s="167"/>
      <c r="U12" s="168"/>
      <c r="W12" s="55"/>
      <c r="X12" s="167"/>
    </row>
    <row r="13" spans="1:31" s="159" customFormat="1" ht="15" customHeight="1">
      <c r="A13" s="242" t="s">
        <v>103</v>
      </c>
      <c r="B13" s="261">
        <v>1970</v>
      </c>
      <c r="C13" s="183" t="s">
        <v>73</v>
      </c>
      <c r="D13" s="282" t="s">
        <v>74</v>
      </c>
      <c r="E13" s="293">
        <v>724831307</v>
      </c>
      <c r="F13" s="304" t="s">
        <v>294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230"/>
      <c r="R13" s="44"/>
      <c r="S13" s="41"/>
      <c r="T13" s="167"/>
      <c r="U13" s="168"/>
      <c r="V13" s="137"/>
      <c r="W13" s="55"/>
      <c r="X13" s="167"/>
      <c r="Y13" s="137"/>
      <c r="Z13" s="137"/>
      <c r="AA13" s="137"/>
      <c r="AB13" s="137"/>
      <c r="AC13" s="137"/>
      <c r="AD13" s="137"/>
      <c r="AE13" s="137"/>
    </row>
    <row r="14" spans="1:31" s="159" customFormat="1" ht="15" customHeight="1">
      <c r="A14" s="242" t="s">
        <v>153</v>
      </c>
      <c r="B14" s="261">
        <v>1949</v>
      </c>
      <c r="C14" s="183" t="s">
        <v>154</v>
      </c>
      <c r="D14" s="282" t="s">
        <v>155</v>
      </c>
      <c r="E14" s="288">
        <v>602485068</v>
      </c>
      <c r="F14" s="30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230"/>
      <c r="R14" s="44"/>
      <c r="S14" s="41"/>
      <c r="T14" s="167"/>
      <c r="U14" s="168"/>
      <c r="V14" s="137"/>
      <c r="W14" s="55"/>
      <c r="X14" s="167"/>
      <c r="Y14" s="137"/>
      <c r="Z14" s="137"/>
      <c r="AA14" s="137"/>
      <c r="AB14" s="137"/>
      <c r="AC14" s="137"/>
      <c r="AD14" s="137"/>
      <c r="AE14" s="137"/>
    </row>
    <row r="15" spans="1:31" s="159" customFormat="1" ht="15" customHeight="1">
      <c r="A15" s="242" t="s">
        <v>59</v>
      </c>
      <c r="B15" s="261">
        <v>1956</v>
      </c>
      <c r="C15" s="183" t="s">
        <v>75</v>
      </c>
      <c r="D15" s="282" t="s">
        <v>62</v>
      </c>
      <c r="E15" s="293"/>
      <c r="F15" s="30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230"/>
      <c r="R15" s="44"/>
      <c r="S15" s="41"/>
      <c r="T15" s="167"/>
      <c r="U15" s="168"/>
      <c r="V15" s="137"/>
      <c r="W15" s="55"/>
      <c r="X15" s="167"/>
      <c r="Y15" s="137"/>
      <c r="Z15" s="137"/>
      <c r="AA15" s="137"/>
      <c r="AB15" s="137"/>
      <c r="AC15" s="137"/>
      <c r="AD15" s="137"/>
      <c r="AE15" s="137"/>
    </row>
    <row r="16" spans="1:24" s="137" customFormat="1" ht="15" customHeight="1">
      <c r="A16" s="242" t="s">
        <v>50</v>
      </c>
      <c r="B16" s="261">
        <v>1977</v>
      </c>
      <c r="C16" s="183" t="s">
        <v>76</v>
      </c>
      <c r="D16" s="282" t="s">
        <v>53</v>
      </c>
      <c r="E16" s="293"/>
      <c r="F16" s="303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230"/>
      <c r="R16" s="44"/>
      <c r="S16" s="41"/>
      <c r="T16" s="167"/>
      <c r="U16" s="168"/>
      <c r="W16" s="55"/>
      <c r="X16" s="167"/>
    </row>
    <row r="17" spans="1:31" s="159" customFormat="1" ht="15" customHeight="1">
      <c r="A17" s="242" t="s">
        <v>49</v>
      </c>
      <c r="B17" s="261">
        <v>1954</v>
      </c>
      <c r="C17" s="183" t="s">
        <v>77</v>
      </c>
      <c r="D17" s="282" t="s">
        <v>53</v>
      </c>
      <c r="E17" s="293">
        <v>604820084</v>
      </c>
      <c r="F17" s="303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230"/>
      <c r="R17" s="44"/>
      <c r="S17" s="41"/>
      <c r="T17" s="167"/>
      <c r="U17" s="168"/>
      <c r="V17" s="137"/>
      <c r="W17" s="55"/>
      <c r="X17" s="167"/>
      <c r="Y17" s="137"/>
      <c r="Z17" s="137"/>
      <c r="AA17" s="137"/>
      <c r="AB17" s="137"/>
      <c r="AC17" s="137"/>
      <c r="AD17" s="137"/>
      <c r="AE17" s="137"/>
    </row>
    <row r="18" spans="1:31" s="159" customFormat="1" ht="15" customHeight="1">
      <c r="A18" s="242" t="s">
        <v>295</v>
      </c>
      <c r="B18" s="261">
        <v>1968</v>
      </c>
      <c r="C18" s="198" t="s">
        <v>296</v>
      </c>
      <c r="D18" s="284" t="s">
        <v>80</v>
      </c>
      <c r="E18" s="293"/>
      <c r="F18" s="303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230"/>
      <c r="R18" s="44"/>
      <c r="S18" s="41"/>
      <c r="T18" s="167"/>
      <c r="U18" s="168"/>
      <c r="V18" s="137"/>
      <c r="W18" s="55"/>
      <c r="X18" s="167"/>
      <c r="Y18" s="137"/>
      <c r="Z18" s="137"/>
      <c r="AA18" s="137"/>
      <c r="AB18" s="137"/>
      <c r="AC18" s="137"/>
      <c r="AD18" s="137"/>
      <c r="AE18" s="137"/>
    </row>
    <row r="19" spans="1:31" s="159" customFormat="1" ht="15" customHeight="1">
      <c r="A19" s="245" t="s">
        <v>284</v>
      </c>
      <c r="B19" s="265">
        <v>1957</v>
      </c>
      <c r="C19" s="100" t="s">
        <v>285</v>
      </c>
      <c r="D19" s="282" t="s">
        <v>270</v>
      </c>
      <c r="E19" s="293"/>
      <c r="F19" s="303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230"/>
      <c r="R19" s="44"/>
      <c r="S19" s="41"/>
      <c r="T19" s="167"/>
      <c r="U19" s="168"/>
      <c r="V19" s="137"/>
      <c r="W19" s="55"/>
      <c r="X19" s="167"/>
      <c r="Y19" s="137"/>
      <c r="Z19" s="137"/>
      <c r="AA19" s="137"/>
      <c r="AB19" s="137"/>
      <c r="AC19" s="137"/>
      <c r="AD19" s="137"/>
      <c r="AE19" s="137"/>
    </row>
    <row r="20" spans="1:31" s="159" customFormat="1" ht="15" customHeight="1">
      <c r="A20" s="242" t="s">
        <v>51</v>
      </c>
      <c r="B20" s="261">
        <v>1940</v>
      </c>
      <c r="C20" s="183" t="s">
        <v>78</v>
      </c>
      <c r="D20" s="282" t="s">
        <v>53</v>
      </c>
      <c r="E20" s="288">
        <v>724031906</v>
      </c>
      <c r="F20" s="303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230"/>
      <c r="R20" s="44"/>
      <c r="S20" s="41"/>
      <c r="T20" s="167"/>
      <c r="U20" s="168"/>
      <c r="V20" s="137"/>
      <c r="W20" s="55"/>
      <c r="X20" s="167"/>
      <c r="Y20" s="137"/>
      <c r="Z20" s="137"/>
      <c r="AA20" s="137"/>
      <c r="AB20" s="137"/>
      <c r="AC20" s="137"/>
      <c r="AD20" s="137"/>
      <c r="AE20" s="137"/>
    </row>
    <row r="21" spans="1:31" s="159" customFormat="1" ht="15" customHeight="1">
      <c r="A21" s="242" t="s">
        <v>111</v>
      </c>
      <c r="B21" s="261">
        <v>1949</v>
      </c>
      <c r="C21" s="183" t="s">
        <v>143</v>
      </c>
      <c r="D21" s="282" t="s">
        <v>144</v>
      </c>
      <c r="E21" s="293"/>
      <c r="F21" s="303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230"/>
      <c r="R21" s="44"/>
      <c r="S21" s="41"/>
      <c r="T21" s="167"/>
      <c r="U21" s="168"/>
      <c r="V21" s="137"/>
      <c r="W21" s="55"/>
      <c r="X21" s="167"/>
      <c r="Y21" s="137"/>
      <c r="Z21" s="137"/>
      <c r="AA21" s="137"/>
      <c r="AB21" s="137"/>
      <c r="AC21" s="137"/>
      <c r="AD21" s="137"/>
      <c r="AE21" s="137"/>
    </row>
    <row r="22" spans="1:31" s="159" customFormat="1" ht="15" customHeight="1">
      <c r="A22" s="242" t="s">
        <v>56</v>
      </c>
      <c r="B22" s="261">
        <v>1945</v>
      </c>
      <c r="C22" s="183" t="s">
        <v>79</v>
      </c>
      <c r="D22" s="282" t="s">
        <v>63</v>
      </c>
      <c r="E22" s="293"/>
      <c r="F22" s="303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230"/>
      <c r="R22" s="44"/>
      <c r="S22" s="41"/>
      <c r="T22" s="167"/>
      <c r="U22" s="168"/>
      <c r="V22" s="137"/>
      <c r="W22" s="55"/>
      <c r="X22" s="167"/>
      <c r="Y22" s="137"/>
      <c r="Z22" s="137"/>
      <c r="AA22" s="137"/>
      <c r="AB22" s="137"/>
      <c r="AC22" s="137"/>
      <c r="AD22" s="137"/>
      <c r="AE22" s="137"/>
    </row>
    <row r="23" spans="1:31" s="159" customFormat="1" ht="15" customHeight="1">
      <c r="A23" s="246" t="s">
        <v>164</v>
      </c>
      <c r="B23" s="269">
        <v>1994</v>
      </c>
      <c r="C23" s="80">
        <v>37482</v>
      </c>
      <c r="D23" s="284" t="s">
        <v>165</v>
      </c>
      <c r="E23" s="293"/>
      <c r="F23" s="303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230"/>
      <c r="R23" s="44"/>
      <c r="S23" s="41"/>
      <c r="T23" s="167"/>
      <c r="U23" s="168"/>
      <c r="V23" s="137"/>
      <c r="W23" s="55"/>
      <c r="X23" s="167"/>
      <c r="Y23" s="137"/>
      <c r="Z23" s="137"/>
      <c r="AA23" s="137"/>
      <c r="AB23" s="137"/>
      <c r="AC23" s="137"/>
      <c r="AD23" s="137"/>
      <c r="AE23" s="137"/>
    </row>
    <row r="24" spans="1:31" s="159" customFormat="1" ht="15" customHeight="1">
      <c r="A24" s="242" t="s">
        <v>297</v>
      </c>
      <c r="B24" s="261">
        <v>1969</v>
      </c>
      <c r="C24" s="183" t="s">
        <v>298</v>
      </c>
      <c r="D24" s="282" t="s">
        <v>80</v>
      </c>
      <c r="E24" s="293">
        <v>723885670</v>
      </c>
      <c r="F24" s="414" t="s">
        <v>495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230"/>
      <c r="R24" s="44"/>
      <c r="S24" s="41"/>
      <c r="T24" s="167"/>
      <c r="U24" s="168"/>
      <c r="V24" s="137"/>
      <c r="W24" s="55"/>
      <c r="X24" s="167"/>
      <c r="Y24" s="137"/>
      <c r="Z24" s="137"/>
      <c r="AA24" s="137"/>
      <c r="AB24" s="137"/>
      <c r="AC24" s="137"/>
      <c r="AD24" s="137"/>
      <c r="AE24" s="137"/>
    </row>
    <row r="25" spans="1:31" s="159" customFormat="1" ht="15" customHeight="1">
      <c r="A25" s="244" t="s">
        <v>159</v>
      </c>
      <c r="B25" s="262">
        <v>1972</v>
      </c>
      <c r="C25" s="99" t="s">
        <v>149</v>
      </c>
      <c r="D25" s="285" t="s">
        <v>152</v>
      </c>
      <c r="E25" s="293"/>
      <c r="F25" s="303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230"/>
      <c r="R25" s="44"/>
      <c r="S25" s="41"/>
      <c r="T25" s="167"/>
      <c r="U25" s="168"/>
      <c r="V25" s="137"/>
      <c r="W25" s="55"/>
      <c r="X25" s="167"/>
      <c r="Y25" s="137"/>
      <c r="Z25" s="137"/>
      <c r="AA25" s="137"/>
      <c r="AB25" s="137"/>
      <c r="AC25" s="137"/>
      <c r="AD25" s="137"/>
      <c r="AE25" s="137"/>
    </row>
    <row r="26" spans="1:31" s="159" customFormat="1" ht="15" customHeight="1">
      <c r="A26" s="247" t="s">
        <v>46</v>
      </c>
      <c r="B26" s="259">
        <v>1991</v>
      </c>
      <c r="C26" s="99"/>
      <c r="D26" s="285" t="s">
        <v>128</v>
      </c>
      <c r="E26" s="293"/>
      <c r="F26" s="303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230"/>
      <c r="R26" s="44"/>
      <c r="S26" s="41"/>
      <c r="T26" s="167"/>
      <c r="U26" s="168"/>
      <c r="V26" s="137"/>
      <c r="W26" s="55"/>
      <c r="X26" s="167"/>
      <c r="Y26" s="137"/>
      <c r="Z26" s="137"/>
      <c r="AA26" s="137"/>
      <c r="AB26" s="137"/>
      <c r="AC26" s="137"/>
      <c r="AD26" s="137"/>
      <c r="AE26" s="137"/>
    </row>
    <row r="27" spans="1:31" s="159" customFormat="1" ht="15" customHeight="1">
      <c r="A27" s="242" t="s">
        <v>127</v>
      </c>
      <c r="B27" s="261">
        <v>1956</v>
      </c>
      <c r="C27" s="183">
        <v>32183</v>
      </c>
      <c r="D27" s="282" t="s">
        <v>62</v>
      </c>
      <c r="E27" s="293"/>
      <c r="F27" s="303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230"/>
      <c r="R27" s="44"/>
      <c r="S27" s="41"/>
      <c r="T27" s="167"/>
      <c r="U27" s="168"/>
      <c r="V27" s="137"/>
      <c r="W27" s="55"/>
      <c r="X27" s="167"/>
      <c r="Y27" s="137"/>
      <c r="Z27" s="137"/>
      <c r="AA27" s="137"/>
      <c r="AB27" s="137"/>
      <c r="AC27" s="137"/>
      <c r="AD27" s="137"/>
      <c r="AE27" s="137"/>
    </row>
    <row r="28" spans="1:31" s="159" customFormat="1" ht="15" customHeight="1">
      <c r="A28" s="243" t="s">
        <v>132</v>
      </c>
      <c r="B28" s="261">
        <v>1993</v>
      </c>
      <c r="C28" s="183" t="s">
        <v>102</v>
      </c>
      <c r="D28" s="282" t="s">
        <v>55</v>
      </c>
      <c r="E28" s="293"/>
      <c r="F28" s="303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230"/>
      <c r="R28" s="44"/>
      <c r="S28" s="41"/>
      <c r="T28" s="167"/>
      <c r="U28" s="168"/>
      <c r="V28" s="137"/>
      <c r="W28" s="55"/>
      <c r="X28" s="167"/>
      <c r="Y28" s="137"/>
      <c r="Z28" s="137"/>
      <c r="AA28" s="137"/>
      <c r="AB28" s="137"/>
      <c r="AC28" s="137"/>
      <c r="AD28" s="137"/>
      <c r="AE28" s="137"/>
    </row>
    <row r="29" spans="1:31" s="159" customFormat="1" ht="15" customHeight="1">
      <c r="A29" s="242" t="s">
        <v>132</v>
      </c>
      <c r="B29" s="261">
        <v>1994</v>
      </c>
      <c r="C29" s="183">
        <v>37062</v>
      </c>
      <c r="D29" s="282" t="s">
        <v>55</v>
      </c>
      <c r="E29" s="293"/>
      <c r="F29" s="303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229"/>
      <c r="T29" s="167"/>
      <c r="U29" s="186"/>
      <c r="V29" s="137"/>
      <c r="W29" s="55"/>
      <c r="X29" s="55"/>
      <c r="Y29" s="137"/>
      <c r="Z29" s="137"/>
      <c r="AA29" s="137"/>
      <c r="AB29" s="137"/>
      <c r="AC29" s="137"/>
      <c r="AD29" s="137"/>
      <c r="AE29" s="137"/>
    </row>
    <row r="30" spans="1:31" s="159" customFormat="1" ht="15" customHeight="1">
      <c r="A30" s="242" t="s">
        <v>107</v>
      </c>
      <c r="B30" s="261">
        <v>1993</v>
      </c>
      <c r="C30" s="183">
        <v>37061</v>
      </c>
      <c r="D30" s="282" t="s">
        <v>55</v>
      </c>
      <c r="E30" s="293"/>
      <c r="F30" s="303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185"/>
      <c r="T30" s="167"/>
      <c r="U30" s="186"/>
      <c r="V30" s="137"/>
      <c r="W30" s="55"/>
      <c r="X30" s="167"/>
      <c r="Y30" s="137"/>
      <c r="Z30" s="137"/>
      <c r="AA30" s="137"/>
      <c r="AB30" s="137"/>
      <c r="AC30" s="137"/>
      <c r="AD30" s="137"/>
      <c r="AE30" s="137"/>
    </row>
    <row r="31" spans="1:31" s="159" customFormat="1" ht="15" customHeight="1">
      <c r="A31" s="242" t="s">
        <v>139</v>
      </c>
      <c r="B31" s="261">
        <v>1962</v>
      </c>
      <c r="C31" s="183" t="s">
        <v>81</v>
      </c>
      <c r="D31" s="282" t="s">
        <v>80</v>
      </c>
      <c r="E31" s="293"/>
      <c r="F31" s="30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185"/>
      <c r="T31" s="167"/>
      <c r="U31" s="186"/>
      <c r="V31" s="137"/>
      <c r="W31" s="55"/>
      <c r="X31" s="167"/>
      <c r="Y31" s="137"/>
      <c r="Z31" s="137"/>
      <c r="AA31" s="137"/>
      <c r="AB31" s="137"/>
      <c r="AC31" s="137"/>
      <c r="AD31" s="137"/>
      <c r="AE31" s="137"/>
    </row>
    <row r="32" spans="1:31" s="159" customFormat="1" ht="15" customHeight="1">
      <c r="A32" s="247" t="s">
        <v>281</v>
      </c>
      <c r="B32" s="262">
        <v>1964</v>
      </c>
      <c r="C32" s="213" t="s">
        <v>282</v>
      </c>
      <c r="D32" s="285" t="s">
        <v>283</v>
      </c>
      <c r="E32" s="293"/>
      <c r="F32" s="303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185"/>
      <c r="T32" s="167"/>
      <c r="U32" s="186"/>
      <c r="V32" s="137"/>
      <c r="W32" s="55"/>
      <c r="X32" s="167"/>
      <c r="Y32" s="137"/>
      <c r="Z32" s="137"/>
      <c r="AA32" s="137"/>
      <c r="AB32" s="137"/>
      <c r="AC32" s="137"/>
      <c r="AD32" s="137"/>
      <c r="AE32" s="137"/>
    </row>
    <row r="33" spans="1:31" s="159" customFormat="1" ht="15" customHeight="1">
      <c r="A33" s="242" t="s">
        <v>134</v>
      </c>
      <c r="B33" s="261">
        <v>1955</v>
      </c>
      <c r="C33" s="183" t="s">
        <v>82</v>
      </c>
      <c r="D33" s="281" t="s">
        <v>130</v>
      </c>
      <c r="E33" s="293">
        <v>607725961</v>
      </c>
      <c r="F33" s="303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185"/>
      <c r="T33" s="167"/>
      <c r="U33" s="186"/>
      <c r="V33" s="137"/>
      <c r="W33" s="55"/>
      <c r="X33" s="167"/>
      <c r="Y33" s="137"/>
      <c r="Z33" s="137"/>
      <c r="AA33" s="137"/>
      <c r="AB33" s="137"/>
      <c r="AC33" s="137"/>
      <c r="AD33" s="137"/>
      <c r="AE33" s="137"/>
    </row>
    <row r="34" spans="1:31" s="159" customFormat="1" ht="15" customHeight="1">
      <c r="A34" s="247" t="s">
        <v>288</v>
      </c>
      <c r="B34" s="262">
        <v>1949</v>
      </c>
      <c r="C34" s="213" t="s">
        <v>102</v>
      </c>
      <c r="D34" s="285" t="s">
        <v>287</v>
      </c>
      <c r="E34" s="293"/>
      <c r="F34" s="305" t="s">
        <v>289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185"/>
      <c r="T34" s="167"/>
      <c r="U34" s="186"/>
      <c r="V34" s="137"/>
      <c r="W34" s="55"/>
      <c r="X34" s="167"/>
      <c r="Y34" s="137"/>
      <c r="Z34" s="137"/>
      <c r="AA34" s="137"/>
      <c r="AB34" s="137"/>
      <c r="AC34" s="137"/>
      <c r="AD34" s="137"/>
      <c r="AE34" s="137"/>
    </row>
    <row r="35" spans="1:31" s="159" customFormat="1" ht="15" customHeight="1">
      <c r="A35" s="242" t="s">
        <v>57</v>
      </c>
      <c r="B35" s="261">
        <v>1952</v>
      </c>
      <c r="C35" s="183" t="s">
        <v>83</v>
      </c>
      <c r="D35" s="282" t="s">
        <v>60</v>
      </c>
      <c r="E35" s="293"/>
      <c r="F35" s="303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185"/>
      <c r="T35" s="167"/>
      <c r="U35" s="186"/>
      <c r="V35" s="137"/>
      <c r="W35" s="55"/>
      <c r="X35" s="167"/>
      <c r="Y35" s="137"/>
      <c r="Z35" s="137"/>
      <c r="AA35" s="137"/>
      <c r="AB35" s="137"/>
      <c r="AC35" s="137"/>
      <c r="AD35" s="137"/>
      <c r="AE35" s="137"/>
    </row>
    <row r="36" spans="1:31" s="159" customFormat="1" ht="15" customHeight="1">
      <c r="A36" s="242" t="s">
        <v>61</v>
      </c>
      <c r="B36" s="261">
        <v>1958</v>
      </c>
      <c r="C36" s="183" t="s">
        <v>135</v>
      </c>
      <c r="D36" s="282" t="s">
        <v>60</v>
      </c>
      <c r="E36" s="293"/>
      <c r="F36" s="303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185"/>
      <c r="T36" s="167"/>
      <c r="U36" s="186"/>
      <c r="V36" s="137"/>
      <c r="W36" s="55"/>
      <c r="X36" s="167"/>
      <c r="Y36" s="137"/>
      <c r="Z36" s="137"/>
      <c r="AA36" s="137"/>
      <c r="AB36" s="137"/>
      <c r="AC36" s="137"/>
      <c r="AD36" s="137"/>
      <c r="AE36" s="137"/>
    </row>
    <row r="37" spans="1:31" s="159" customFormat="1" ht="15" customHeight="1">
      <c r="A37" s="242" t="s">
        <v>58</v>
      </c>
      <c r="B37" s="261">
        <v>1979</v>
      </c>
      <c r="C37" s="183" t="s">
        <v>84</v>
      </c>
      <c r="D37" s="282" t="s">
        <v>53</v>
      </c>
      <c r="E37" s="293"/>
      <c r="F37" s="303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185"/>
      <c r="T37" s="167"/>
      <c r="U37" s="186"/>
      <c r="V37" s="137"/>
      <c r="W37" s="55"/>
      <c r="X37" s="167"/>
      <c r="Y37" s="137"/>
      <c r="Z37" s="137"/>
      <c r="AA37" s="137"/>
      <c r="AB37" s="137"/>
      <c r="AC37" s="137"/>
      <c r="AD37" s="137"/>
      <c r="AE37" s="137"/>
    </row>
    <row r="38" spans="1:31" s="159" customFormat="1" ht="15" customHeight="1">
      <c r="A38" s="244" t="s">
        <v>175</v>
      </c>
      <c r="B38" s="262">
        <v>1971</v>
      </c>
      <c r="C38" s="99" t="s">
        <v>176</v>
      </c>
      <c r="D38" s="285" t="s">
        <v>53</v>
      </c>
      <c r="E38" s="293"/>
      <c r="F38" s="303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185"/>
      <c r="T38" s="167"/>
      <c r="U38" s="186"/>
      <c r="V38" s="137"/>
      <c r="W38" s="55"/>
      <c r="X38" s="167"/>
      <c r="Y38" s="137"/>
      <c r="Z38" s="137"/>
      <c r="AA38" s="137"/>
      <c r="AB38" s="137"/>
      <c r="AC38" s="137"/>
      <c r="AD38" s="137"/>
      <c r="AE38" s="137"/>
    </row>
    <row r="39" spans="1:31" s="159" customFormat="1" ht="15" customHeight="1">
      <c r="A39" s="242" t="s">
        <v>172</v>
      </c>
      <c r="B39" s="263">
        <v>1982</v>
      </c>
      <c r="C39" s="79" t="s">
        <v>102</v>
      </c>
      <c r="D39" s="283" t="s">
        <v>163</v>
      </c>
      <c r="E39" s="293"/>
      <c r="F39" s="303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185"/>
      <c r="T39" s="167"/>
      <c r="U39" s="186"/>
      <c r="V39" s="137"/>
      <c r="W39" s="55"/>
      <c r="X39" s="167"/>
      <c r="Y39" s="137"/>
      <c r="Z39" s="137"/>
      <c r="AA39" s="137"/>
      <c r="AB39" s="137"/>
      <c r="AC39" s="137"/>
      <c r="AD39" s="137"/>
      <c r="AE39" s="137"/>
    </row>
    <row r="40" spans="1:31" s="159" customFormat="1" ht="15" customHeight="1">
      <c r="A40" s="246" t="s">
        <v>99</v>
      </c>
      <c r="B40" s="263">
        <v>1993</v>
      </c>
      <c r="C40" s="197" t="s">
        <v>102</v>
      </c>
      <c r="D40" s="282" t="s">
        <v>55</v>
      </c>
      <c r="E40" s="293"/>
      <c r="F40" s="303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185"/>
      <c r="T40" s="167"/>
      <c r="U40" s="186"/>
      <c r="V40" s="137"/>
      <c r="W40" s="55"/>
      <c r="X40" s="167"/>
      <c r="Y40" s="137"/>
      <c r="Z40" s="137"/>
      <c r="AA40" s="137"/>
      <c r="AB40" s="137"/>
      <c r="AC40" s="137"/>
      <c r="AD40" s="137"/>
      <c r="AE40" s="137"/>
    </row>
    <row r="41" spans="1:31" s="159" customFormat="1" ht="15" customHeight="1">
      <c r="A41" s="242" t="s">
        <v>156</v>
      </c>
      <c r="B41" s="261">
        <v>1990</v>
      </c>
      <c r="C41" s="183" t="s">
        <v>102</v>
      </c>
      <c r="D41" s="281" t="s">
        <v>53</v>
      </c>
      <c r="E41" s="293"/>
      <c r="F41" s="303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185"/>
      <c r="T41" s="167"/>
      <c r="U41" s="186"/>
      <c r="V41" s="137"/>
      <c r="W41" s="55"/>
      <c r="X41" s="167"/>
      <c r="Y41" s="137"/>
      <c r="Z41" s="137"/>
      <c r="AA41" s="137"/>
      <c r="AB41" s="137"/>
      <c r="AC41" s="137"/>
      <c r="AD41" s="137"/>
      <c r="AE41" s="137"/>
    </row>
    <row r="42" spans="1:31" s="159" customFormat="1" ht="15" customHeight="1">
      <c r="A42" s="242" t="s">
        <v>48</v>
      </c>
      <c r="B42" s="261">
        <v>1976</v>
      </c>
      <c r="C42" s="183" t="s">
        <v>85</v>
      </c>
      <c r="D42" s="282" t="s">
        <v>53</v>
      </c>
      <c r="E42" s="293">
        <v>732238509</v>
      </c>
      <c r="F42" s="303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185"/>
      <c r="T42" s="167"/>
      <c r="U42" s="186"/>
      <c r="V42" s="137"/>
      <c r="W42" s="55"/>
      <c r="X42" s="167"/>
      <c r="Y42" s="137"/>
      <c r="Z42" s="137"/>
      <c r="AA42" s="137"/>
      <c r="AB42" s="137"/>
      <c r="AC42" s="137"/>
      <c r="AD42" s="137"/>
      <c r="AE42" s="137"/>
    </row>
    <row r="43" spans="1:31" s="159" customFormat="1" ht="15" customHeight="1">
      <c r="A43" s="242" t="s">
        <v>47</v>
      </c>
      <c r="B43" s="261">
        <v>1981</v>
      </c>
      <c r="C43" s="183">
        <v>18641</v>
      </c>
      <c r="D43" s="282" t="s">
        <v>53</v>
      </c>
      <c r="E43" s="293">
        <v>604650714</v>
      </c>
      <c r="F43" s="304" t="s">
        <v>309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185"/>
      <c r="T43" s="167"/>
      <c r="U43" s="186"/>
      <c r="V43" s="137"/>
      <c r="W43" s="55"/>
      <c r="X43" s="167"/>
      <c r="Y43" s="137"/>
      <c r="Z43" s="137"/>
      <c r="AA43" s="137"/>
      <c r="AB43" s="137"/>
      <c r="AC43" s="137"/>
      <c r="AD43" s="137"/>
      <c r="AE43" s="137"/>
    </row>
    <row r="44" spans="1:31" s="159" customFormat="1" ht="15" customHeight="1">
      <c r="A44" s="244" t="s">
        <v>269</v>
      </c>
      <c r="B44" s="264">
        <v>1958</v>
      </c>
      <c r="C44" s="100" t="s">
        <v>277</v>
      </c>
      <c r="D44" s="281" t="s">
        <v>278</v>
      </c>
      <c r="E44" s="293"/>
      <c r="F44" s="303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185"/>
      <c r="T44" s="167"/>
      <c r="U44" s="186"/>
      <c r="V44" s="137"/>
      <c r="W44" s="55"/>
      <c r="X44" s="167"/>
      <c r="Y44" s="137"/>
      <c r="Z44" s="137"/>
      <c r="AA44" s="137"/>
      <c r="AB44" s="137"/>
      <c r="AC44" s="137"/>
      <c r="AD44" s="137"/>
      <c r="AE44" s="137"/>
    </row>
    <row r="45" spans="1:31" s="159" customFormat="1" ht="15" customHeight="1">
      <c r="A45" s="248" t="s">
        <v>268</v>
      </c>
      <c r="B45" s="265">
        <v>1974</v>
      </c>
      <c r="C45" s="99" t="s">
        <v>102</v>
      </c>
      <c r="D45" s="281" t="s">
        <v>97</v>
      </c>
      <c r="E45" s="293"/>
      <c r="F45" s="303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185"/>
      <c r="T45" s="167"/>
      <c r="U45" s="186"/>
      <c r="V45" s="137"/>
      <c r="W45" s="55"/>
      <c r="X45" s="167"/>
      <c r="Y45" s="137"/>
      <c r="Z45" s="137"/>
      <c r="AA45" s="137"/>
      <c r="AB45" s="137"/>
      <c r="AC45" s="137"/>
      <c r="AD45" s="137"/>
      <c r="AE45" s="137"/>
    </row>
    <row r="46" spans="1:31" s="159" customFormat="1" ht="15" customHeight="1">
      <c r="A46" s="244" t="s">
        <v>158</v>
      </c>
      <c r="B46" s="262">
        <v>1967</v>
      </c>
      <c r="C46" s="99">
        <v>35408</v>
      </c>
      <c r="D46" s="285" t="s">
        <v>98</v>
      </c>
      <c r="E46" s="293"/>
      <c r="F46" s="303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185"/>
      <c r="T46" s="167"/>
      <c r="U46" s="186"/>
      <c r="V46" s="137"/>
      <c r="W46" s="55"/>
      <c r="X46" s="167"/>
      <c r="Y46" s="137"/>
      <c r="Z46" s="137"/>
      <c r="AA46" s="137"/>
      <c r="AB46" s="137"/>
      <c r="AC46" s="137"/>
      <c r="AD46" s="137"/>
      <c r="AE46" s="137"/>
    </row>
    <row r="47" spans="1:31" s="159" customFormat="1" ht="15" customHeight="1">
      <c r="A47" s="242" t="s">
        <v>259</v>
      </c>
      <c r="B47" s="266">
        <v>1994</v>
      </c>
      <c r="C47" s="79" t="s">
        <v>279</v>
      </c>
      <c r="D47" s="283" t="s">
        <v>272</v>
      </c>
      <c r="E47" s="293">
        <v>606125984</v>
      </c>
      <c r="F47" s="304" t="s">
        <v>299</v>
      </c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185"/>
      <c r="T47" s="167"/>
      <c r="U47" s="186"/>
      <c r="V47" s="137"/>
      <c r="W47" s="55"/>
      <c r="X47" s="167"/>
      <c r="Y47" s="137"/>
      <c r="Z47" s="137"/>
      <c r="AA47" s="137"/>
      <c r="AB47" s="137"/>
      <c r="AC47" s="137"/>
      <c r="AD47" s="137"/>
      <c r="AE47" s="137"/>
    </row>
    <row r="48" spans="1:31" s="159" customFormat="1" ht="15" customHeight="1">
      <c r="A48" s="242" t="s">
        <v>148</v>
      </c>
      <c r="B48" s="255">
        <v>1978</v>
      </c>
      <c r="C48" s="183" t="s">
        <v>151</v>
      </c>
      <c r="D48" s="282" t="s">
        <v>150</v>
      </c>
      <c r="E48" s="293">
        <v>721482755</v>
      </c>
      <c r="F48" s="304" t="s">
        <v>300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185"/>
      <c r="T48" s="167"/>
      <c r="U48" s="186"/>
      <c r="V48" s="137"/>
      <c r="W48" s="55"/>
      <c r="X48" s="167"/>
      <c r="Y48" s="137"/>
      <c r="Z48" s="137"/>
      <c r="AA48" s="137"/>
      <c r="AB48" s="137"/>
      <c r="AC48" s="137"/>
      <c r="AD48" s="137"/>
      <c r="AE48" s="137"/>
    </row>
    <row r="49" spans="1:31" s="159" customFormat="1" ht="15" customHeight="1">
      <c r="A49" s="249" t="s">
        <v>182</v>
      </c>
      <c r="B49" s="267">
        <v>1964</v>
      </c>
      <c r="C49" s="233" t="s">
        <v>102</v>
      </c>
      <c r="D49" s="282" t="s">
        <v>55</v>
      </c>
      <c r="E49" s="293"/>
      <c r="F49" s="303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185"/>
      <c r="T49" s="167"/>
      <c r="U49" s="186"/>
      <c r="V49" s="137"/>
      <c r="W49" s="55"/>
      <c r="X49" s="167"/>
      <c r="Y49" s="137"/>
      <c r="Z49" s="137"/>
      <c r="AA49" s="137"/>
      <c r="AB49" s="137"/>
      <c r="AC49" s="137"/>
      <c r="AD49" s="137"/>
      <c r="AE49" s="137"/>
    </row>
    <row r="50" spans="1:31" s="159" customFormat="1" ht="15" customHeight="1">
      <c r="A50" s="244" t="s">
        <v>167</v>
      </c>
      <c r="B50" s="262">
        <v>1942</v>
      </c>
      <c r="C50" s="99">
        <v>14099</v>
      </c>
      <c r="D50" s="285" t="s">
        <v>180</v>
      </c>
      <c r="E50" s="293"/>
      <c r="F50" s="303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185"/>
      <c r="T50" s="167"/>
      <c r="U50" s="186"/>
      <c r="V50" s="137"/>
      <c r="W50" s="55"/>
      <c r="X50" s="167"/>
      <c r="Y50" s="137"/>
      <c r="Z50" s="137"/>
      <c r="AA50" s="137"/>
      <c r="AB50" s="137"/>
      <c r="AC50" s="137"/>
      <c r="AD50" s="137"/>
      <c r="AE50" s="137"/>
    </row>
    <row r="51" spans="1:31" s="159" customFormat="1" ht="15" customHeight="1">
      <c r="A51" s="243" t="s">
        <v>263</v>
      </c>
      <c r="B51" s="266">
        <v>1991</v>
      </c>
      <c r="C51" s="79">
        <v>37632</v>
      </c>
      <c r="D51" s="283" t="s">
        <v>264</v>
      </c>
      <c r="E51" s="293">
        <v>724094480</v>
      </c>
      <c r="F51" s="304" t="s">
        <v>312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185"/>
      <c r="T51" s="167"/>
      <c r="U51" s="186"/>
      <c r="V51" s="137"/>
      <c r="W51" s="55"/>
      <c r="X51" s="167"/>
      <c r="Y51" s="137"/>
      <c r="Z51" s="137"/>
      <c r="AA51" s="137"/>
      <c r="AB51" s="137"/>
      <c r="AC51" s="137"/>
      <c r="AD51" s="137"/>
      <c r="AE51" s="137"/>
    </row>
    <row r="52" spans="1:31" s="159" customFormat="1" ht="15" customHeight="1">
      <c r="A52" s="242" t="s">
        <v>173</v>
      </c>
      <c r="B52" s="263">
        <v>1992</v>
      </c>
      <c r="C52" s="79" t="s">
        <v>174</v>
      </c>
      <c r="D52" s="283" t="s">
        <v>52</v>
      </c>
      <c r="E52" s="293"/>
      <c r="F52" s="303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185"/>
      <c r="T52" s="167"/>
      <c r="U52" s="186"/>
      <c r="V52" s="137"/>
      <c r="W52" s="55"/>
      <c r="X52" s="167"/>
      <c r="Y52" s="137"/>
      <c r="Z52" s="137"/>
      <c r="AA52" s="137"/>
      <c r="AB52" s="137"/>
      <c r="AC52" s="137"/>
      <c r="AD52" s="137"/>
      <c r="AE52" s="137"/>
    </row>
    <row r="53" spans="1:31" s="159" customFormat="1" ht="15" customHeight="1">
      <c r="A53" s="242" t="s">
        <v>301</v>
      </c>
      <c r="B53" s="261">
        <v>1970</v>
      </c>
      <c r="C53" s="183" t="s">
        <v>302</v>
      </c>
      <c r="D53" s="282" t="s">
        <v>80</v>
      </c>
      <c r="E53" s="293"/>
      <c r="F53" s="303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185"/>
      <c r="T53" s="167"/>
      <c r="U53" s="186"/>
      <c r="V53" s="137"/>
      <c r="W53" s="55"/>
      <c r="X53" s="167"/>
      <c r="Y53" s="137"/>
      <c r="Z53" s="137"/>
      <c r="AA53" s="137"/>
      <c r="AB53" s="137"/>
      <c r="AC53" s="137"/>
      <c r="AD53" s="137"/>
      <c r="AE53" s="137"/>
    </row>
    <row r="54" spans="1:31" s="159" customFormat="1" ht="15" customHeight="1">
      <c r="A54" s="246" t="s">
        <v>177</v>
      </c>
      <c r="B54" s="268">
        <v>1995</v>
      </c>
      <c r="C54" s="80">
        <v>37481</v>
      </c>
      <c r="D54" s="284" t="s">
        <v>178</v>
      </c>
      <c r="E54" s="293"/>
      <c r="F54" s="303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185"/>
      <c r="T54" s="167"/>
      <c r="U54" s="186"/>
      <c r="V54" s="137"/>
      <c r="W54" s="55"/>
      <c r="X54" s="167"/>
      <c r="Y54" s="137"/>
      <c r="Z54" s="137"/>
      <c r="AA54" s="137"/>
      <c r="AB54" s="137"/>
      <c r="AC54" s="137"/>
      <c r="AD54" s="137"/>
      <c r="AE54" s="137"/>
    </row>
    <row r="55" spans="1:31" s="159" customFormat="1" ht="15" customHeight="1">
      <c r="A55" s="247" t="s">
        <v>310</v>
      </c>
      <c r="B55" s="262">
        <v>1946</v>
      </c>
      <c r="C55" s="213" t="s">
        <v>286</v>
      </c>
      <c r="D55" s="285" t="s">
        <v>287</v>
      </c>
      <c r="E55" s="293">
        <v>603852065</v>
      </c>
      <c r="F55" s="303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185"/>
      <c r="T55" s="167"/>
      <c r="U55" s="186"/>
      <c r="V55" s="137"/>
      <c r="W55" s="55"/>
      <c r="X55" s="167"/>
      <c r="Y55" s="137"/>
      <c r="Z55" s="137"/>
      <c r="AA55" s="137"/>
      <c r="AB55" s="137"/>
      <c r="AC55" s="137"/>
      <c r="AD55" s="137"/>
      <c r="AE55" s="137"/>
    </row>
    <row r="56" spans="1:31" s="159" customFormat="1" ht="15" customHeight="1">
      <c r="A56" s="242" t="s">
        <v>108</v>
      </c>
      <c r="B56" s="261">
        <v>1965</v>
      </c>
      <c r="C56" s="183" t="s">
        <v>142</v>
      </c>
      <c r="D56" s="282" t="s">
        <v>55</v>
      </c>
      <c r="E56" s="293"/>
      <c r="F56" s="303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185"/>
      <c r="T56" s="167"/>
      <c r="U56" s="186"/>
      <c r="V56" s="137"/>
      <c r="W56" s="55"/>
      <c r="X56" s="167"/>
      <c r="Y56" s="137"/>
      <c r="Z56" s="137"/>
      <c r="AA56" s="137"/>
      <c r="AB56" s="137"/>
      <c r="AC56" s="137"/>
      <c r="AD56" s="137"/>
      <c r="AE56" s="137"/>
    </row>
    <row r="57" spans="1:31" s="159" customFormat="1" ht="15" customHeight="1">
      <c r="A57" s="243" t="s">
        <v>131</v>
      </c>
      <c r="B57" s="263">
        <v>1994</v>
      </c>
      <c r="C57" s="197" t="s">
        <v>136</v>
      </c>
      <c r="D57" s="282" t="s">
        <v>55</v>
      </c>
      <c r="E57" s="293"/>
      <c r="F57" s="303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185"/>
      <c r="T57" s="167"/>
      <c r="U57" s="186"/>
      <c r="V57" s="137"/>
      <c r="W57" s="55"/>
      <c r="X57" s="167"/>
      <c r="Y57" s="137"/>
      <c r="Z57" s="137"/>
      <c r="AA57" s="137"/>
      <c r="AB57" s="137"/>
      <c r="AC57" s="137"/>
      <c r="AD57" s="137"/>
      <c r="AE57" s="137"/>
    </row>
    <row r="58" spans="1:31" s="159" customFormat="1" ht="15" customHeight="1">
      <c r="A58" s="242" t="s">
        <v>137</v>
      </c>
      <c r="B58" s="261">
        <v>1993</v>
      </c>
      <c r="C58" s="183" t="s">
        <v>102</v>
      </c>
      <c r="D58" s="281" t="s">
        <v>55</v>
      </c>
      <c r="E58" s="293"/>
      <c r="F58" s="303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185"/>
      <c r="T58" s="167"/>
      <c r="U58" s="186"/>
      <c r="V58" s="137"/>
      <c r="W58" s="55"/>
      <c r="X58" s="167"/>
      <c r="Y58" s="137"/>
      <c r="Z58" s="137"/>
      <c r="AA58" s="137"/>
      <c r="AB58" s="137"/>
      <c r="AC58" s="137"/>
      <c r="AD58" s="137"/>
      <c r="AE58" s="137"/>
    </row>
    <row r="59" spans="1:31" s="159" customFormat="1" ht="15" customHeight="1">
      <c r="A59" s="242" t="s">
        <v>96</v>
      </c>
      <c r="B59" s="261">
        <v>1992</v>
      </c>
      <c r="C59" s="183">
        <v>35409</v>
      </c>
      <c r="D59" s="282" t="s">
        <v>52</v>
      </c>
      <c r="E59" s="293"/>
      <c r="F59" s="303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185"/>
      <c r="T59" s="167"/>
      <c r="U59" s="186"/>
      <c r="V59" s="137"/>
      <c r="W59" s="55"/>
      <c r="X59" s="167"/>
      <c r="Y59" s="137"/>
      <c r="Z59" s="137"/>
      <c r="AA59" s="137"/>
      <c r="AB59" s="137"/>
      <c r="AC59" s="137"/>
      <c r="AD59" s="137"/>
      <c r="AE59" s="137"/>
    </row>
    <row r="60" spans="1:31" s="159" customFormat="1" ht="15" customHeight="1">
      <c r="A60" s="246" t="s">
        <v>179</v>
      </c>
      <c r="B60" s="269">
        <v>1984</v>
      </c>
      <c r="C60" s="80" t="s">
        <v>102</v>
      </c>
      <c r="D60" s="284" t="s">
        <v>97</v>
      </c>
      <c r="E60" s="293">
        <v>777255562</v>
      </c>
      <c r="F60" s="304" t="s">
        <v>503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185"/>
      <c r="T60" s="167"/>
      <c r="U60" s="186"/>
      <c r="V60" s="137"/>
      <c r="W60" s="55"/>
      <c r="X60" s="167"/>
      <c r="Y60" s="137"/>
      <c r="Z60" s="137"/>
      <c r="AA60" s="137"/>
      <c r="AB60" s="137"/>
      <c r="AC60" s="137"/>
      <c r="AD60" s="137"/>
      <c r="AE60" s="137"/>
    </row>
    <row r="61" spans="1:31" s="159" customFormat="1" ht="15" customHeight="1">
      <c r="A61" s="242" t="s">
        <v>271</v>
      </c>
      <c r="B61" s="266">
        <v>1974</v>
      </c>
      <c r="C61" s="79">
        <v>543</v>
      </c>
      <c r="D61" s="283" t="s">
        <v>55</v>
      </c>
      <c r="E61" s="293"/>
      <c r="F61" s="303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185"/>
      <c r="T61" s="167"/>
      <c r="U61" s="186"/>
      <c r="V61" s="137"/>
      <c r="W61" s="55"/>
      <c r="X61" s="167"/>
      <c r="Y61" s="137"/>
      <c r="Z61" s="137"/>
      <c r="AA61" s="137"/>
      <c r="AB61" s="137"/>
      <c r="AC61" s="137"/>
      <c r="AD61" s="137"/>
      <c r="AE61" s="137"/>
    </row>
    <row r="62" spans="1:31" s="159" customFormat="1" ht="15" customHeight="1">
      <c r="A62" s="243" t="s">
        <v>303</v>
      </c>
      <c r="B62" s="255">
        <v>1991</v>
      </c>
      <c r="C62" s="183">
        <v>33240</v>
      </c>
      <c r="D62" s="282" t="s">
        <v>62</v>
      </c>
      <c r="E62" s="293"/>
      <c r="F62" s="303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185"/>
      <c r="T62" s="167"/>
      <c r="U62" s="186"/>
      <c r="V62" s="137"/>
      <c r="W62" s="55"/>
      <c r="X62" s="167"/>
      <c r="Y62" s="137"/>
      <c r="Z62" s="137"/>
      <c r="AA62" s="137"/>
      <c r="AB62" s="137"/>
      <c r="AC62" s="137"/>
      <c r="AD62" s="137"/>
      <c r="AE62" s="137"/>
    </row>
    <row r="63" spans="1:31" s="159" customFormat="1" ht="15" customHeight="1">
      <c r="A63" s="247"/>
      <c r="B63" s="259"/>
      <c r="C63" s="213"/>
      <c r="D63" s="285"/>
      <c r="E63" s="293"/>
      <c r="F63" s="303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185"/>
      <c r="T63" s="167"/>
      <c r="U63" s="186"/>
      <c r="V63" s="137"/>
      <c r="W63" s="55"/>
      <c r="X63" s="167"/>
      <c r="Y63" s="137"/>
      <c r="Z63" s="137"/>
      <c r="AA63" s="137"/>
      <c r="AB63" s="137"/>
      <c r="AC63" s="137"/>
      <c r="AD63" s="137"/>
      <c r="AE63" s="137"/>
    </row>
    <row r="64" spans="1:31" s="159" customFormat="1" ht="15" customHeight="1">
      <c r="A64" s="247"/>
      <c r="B64" s="259"/>
      <c r="C64" s="213"/>
      <c r="D64" s="285"/>
      <c r="E64" s="293"/>
      <c r="F64" s="303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185"/>
      <c r="T64" s="167"/>
      <c r="U64" s="186"/>
      <c r="V64" s="137"/>
      <c r="W64" s="55"/>
      <c r="X64" s="167"/>
      <c r="Y64" s="137"/>
      <c r="Z64" s="137"/>
      <c r="AA64" s="137"/>
      <c r="AB64" s="137"/>
      <c r="AC64" s="137"/>
      <c r="AD64" s="137"/>
      <c r="AE64" s="137"/>
    </row>
    <row r="65" spans="1:31" s="159" customFormat="1" ht="15" customHeight="1">
      <c r="A65" s="247"/>
      <c r="B65" s="259"/>
      <c r="C65" s="213"/>
      <c r="D65" s="285"/>
      <c r="E65" s="293"/>
      <c r="F65" s="30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185"/>
      <c r="T65" s="167"/>
      <c r="U65" s="186"/>
      <c r="V65" s="137"/>
      <c r="W65" s="55"/>
      <c r="X65" s="167"/>
      <c r="Y65" s="137"/>
      <c r="Z65" s="137"/>
      <c r="AA65" s="137"/>
      <c r="AB65" s="137"/>
      <c r="AC65" s="137"/>
      <c r="AD65" s="137"/>
      <c r="AE65" s="137"/>
    </row>
    <row r="66" spans="1:31" s="159" customFormat="1" ht="15" customHeight="1">
      <c r="A66" s="247"/>
      <c r="B66" s="259"/>
      <c r="C66" s="213"/>
      <c r="D66" s="285"/>
      <c r="E66" s="293"/>
      <c r="F66" s="303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185"/>
      <c r="T66" s="167"/>
      <c r="U66" s="186"/>
      <c r="V66" s="137"/>
      <c r="W66" s="55"/>
      <c r="X66" s="167"/>
      <c r="Y66" s="137"/>
      <c r="Z66" s="137"/>
      <c r="AA66" s="137"/>
      <c r="AB66" s="137"/>
      <c r="AC66" s="137"/>
      <c r="AD66" s="137"/>
      <c r="AE66" s="137"/>
    </row>
    <row r="67" spans="1:31" s="159" customFormat="1" ht="15" customHeight="1">
      <c r="A67" s="247"/>
      <c r="B67" s="259"/>
      <c r="C67" s="213"/>
      <c r="D67" s="285"/>
      <c r="E67" s="293"/>
      <c r="F67" s="303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185"/>
      <c r="T67" s="167"/>
      <c r="U67" s="186"/>
      <c r="V67" s="137"/>
      <c r="W67" s="55"/>
      <c r="X67" s="167"/>
      <c r="Y67" s="137"/>
      <c r="Z67" s="137"/>
      <c r="AA67" s="137"/>
      <c r="AB67" s="137"/>
      <c r="AC67" s="137"/>
      <c r="AD67" s="137"/>
      <c r="AE67" s="137"/>
    </row>
    <row r="68" spans="1:31" s="159" customFormat="1" ht="15" customHeight="1" thickBot="1">
      <c r="A68" s="251"/>
      <c r="B68" s="270"/>
      <c r="C68" s="102"/>
      <c r="D68" s="286"/>
      <c r="E68" s="294"/>
      <c r="F68" s="306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185"/>
      <c r="T68" s="167"/>
      <c r="U68" s="186"/>
      <c r="V68" s="137"/>
      <c r="W68" s="55"/>
      <c r="X68" s="167"/>
      <c r="Y68" s="137"/>
      <c r="Z68" s="137"/>
      <c r="AA68" s="137"/>
      <c r="AB68" s="137"/>
      <c r="AC68" s="137"/>
      <c r="AD68" s="137"/>
      <c r="AE68" s="137"/>
    </row>
    <row r="69" spans="1:31" s="159" customFormat="1" ht="15">
      <c r="A69" s="136"/>
      <c r="B69" s="261"/>
      <c r="C69" s="155"/>
      <c r="D69" s="261"/>
      <c r="E69" s="295"/>
      <c r="F69" s="307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167"/>
      <c r="S69" s="185"/>
      <c r="T69" s="167"/>
      <c r="U69" s="186"/>
      <c r="V69" s="137"/>
      <c r="W69" s="55"/>
      <c r="X69" s="137"/>
      <c r="Y69" s="137"/>
      <c r="Z69" s="137"/>
      <c r="AA69" s="137"/>
      <c r="AB69" s="137"/>
      <c r="AC69" s="137"/>
      <c r="AD69" s="137"/>
      <c r="AE69" s="137"/>
    </row>
    <row r="70" spans="1:31" s="159" customFormat="1" ht="15">
      <c r="A70" s="136"/>
      <c r="B70" s="261"/>
      <c r="C70" s="155"/>
      <c r="D70" s="261"/>
      <c r="E70" s="295"/>
      <c r="F70" s="307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167"/>
      <c r="S70" s="185"/>
      <c r="T70" s="167"/>
      <c r="U70" s="186"/>
      <c r="V70" s="137"/>
      <c r="W70" s="55"/>
      <c r="X70" s="137"/>
      <c r="Y70" s="137"/>
      <c r="Z70" s="137"/>
      <c r="AA70" s="137"/>
      <c r="AB70" s="137"/>
      <c r="AC70" s="137"/>
      <c r="AD70" s="137"/>
      <c r="AE70" s="137"/>
    </row>
    <row r="71" spans="1:31" s="159" customFormat="1" ht="15">
      <c r="A71" s="136"/>
      <c r="B71" s="261"/>
      <c r="C71" s="155"/>
      <c r="D71" s="261"/>
      <c r="E71" s="295"/>
      <c r="F71" s="307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167"/>
      <c r="S71" s="185"/>
      <c r="T71" s="167"/>
      <c r="U71" s="186"/>
      <c r="V71" s="137"/>
      <c r="W71" s="55"/>
      <c r="X71" s="137"/>
      <c r="Y71" s="137"/>
      <c r="Z71" s="137"/>
      <c r="AA71" s="137"/>
      <c r="AB71" s="137"/>
      <c r="AC71" s="137"/>
      <c r="AD71" s="137"/>
      <c r="AE71" s="137"/>
    </row>
    <row r="72" spans="1:31" s="159" customFormat="1" ht="15">
      <c r="A72" s="136"/>
      <c r="B72" s="261"/>
      <c r="C72" s="155"/>
      <c r="D72" s="261"/>
      <c r="E72" s="295"/>
      <c r="F72" s="307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167"/>
      <c r="S72" s="185"/>
      <c r="T72" s="167"/>
      <c r="U72" s="186"/>
      <c r="V72" s="137"/>
      <c r="W72" s="55"/>
      <c r="X72" s="137"/>
      <c r="Y72" s="137"/>
      <c r="Z72" s="137"/>
      <c r="AA72" s="137"/>
      <c r="AB72" s="137"/>
      <c r="AC72" s="137"/>
      <c r="AD72" s="137"/>
      <c r="AE72" s="137"/>
    </row>
    <row r="73" spans="1:31" s="159" customFormat="1" ht="15">
      <c r="A73" s="136"/>
      <c r="B73" s="261"/>
      <c r="C73" s="155"/>
      <c r="D73" s="261"/>
      <c r="E73" s="295"/>
      <c r="F73" s="307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167"/>
      <c r="S73" s="185"/>
      <c r="T73" s="167"/>
      <c r="U73" s="186"/>
      <c r="V73" s="137"/>
      <c r="W73" s="55"/>
      <c r="X73" s="137"/>
      <c r="Y73" s="137"/>
      <c r="Z73" s="137"/>
      <c r="AA73" s="137"/>
      <c r="AB73" s="137"/>
      <c r="AC73" s="137"/>
      <c r="AD73" s="137"/>
      <c r="AE73" s="137"/>
    </row>
    <row r="74" spans="1:31" s="159" customFormat="1" ht="15">
      <c r="A74" s="136"/>
      <c r="B74" s="261"/>
      <c r="C74" s="155"/>
      <c r="D74" s="261"/>
      <c r="E74" s="295"/>
      <c r="F74" s="307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167"/>
      <c r="S74" s="185"/>
      <c r="T74" s="167"/>
      <c r="U74" s="186"/>
      <c r="V74" s="137"/>
      <c r="W74" s="55"/>
      <c r="X74" s="137"/>
      <c r="Y74" s="137"/>
      <c r="Z74" s="137"/>
      <c r="AA74" s="137"/>
      <c r="AB74" s="137"/>
      <c r="AC74" s="137"/>
      <c r="AD74" s="137"/>
      <c r="AE74" s="137"/>
    </row>
    <row r="75" spans="1:31" s="159" customFormat="1" ht="15">
      <c r="A75" s="136"/>
      <c r="B75" s="261"/>
      <c r="C75" s="155"/>
      <c r="D75" s="261"/>
      <c r="E75" s="295"/>
      <c r="F75" s="307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167"/>
      <c r="S75" s="185"/>
      <c r="T75" s="167"/>
      <c r="U75" s="186"/>
      <c r="V75" s="137"/>
      <c r="W75" s="55"/>
      <c r="X75" s="137"/>
      <c r="Y75" s="137"/>
      <c r="Z75" s="137"/>
      <c r="AA75" s="137"/>
      <c r="AB75" s="137"/>
      <c r="AC75" s="137"/>
      <c r="AD75" s="137"/>
      <c r="AE75" s="137"/>
    </row>
    <row r="76" spans="1:31" s="159" customFormat="1" ht="15">
      <c r="A76" s="250"/>
      <c r="B76" s="255"/>
      <c r="C76" s="160"/>
      <c r="D76" s="255"/>
      <c r="E76" s="296"/>
      <c r="F76" s="308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</row>
    <row r="77" spans="1:31" s="159" customFormat="1" ht="15.75" thickBot="1">
      <c r="A77" s="136"/>
      <c r="B77" s="261"/>
      <c r="C77" s="155"/>
      <c r="D77" s="261"/>
      <c r="E77" s="296"/>
      <c r="F77" s="308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</row>
    <row r="78" spans="1:21" s="159" customFormat="1" ht="15.75" thickBot="1">
      <c r="A78" s="252" t="s">
        <v>104</v>
      </c>
      <c r="B78" s="271"/>
      <c r="C78" s="234"/>
      <c r="D78" s="261"/>
      <c r="E78" s="296"/>
      <c r="F78" s="308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</row>
    <row r="79" spans="1:26" s="159" customFormat="1" ht="31.5" customHeight="1" thickBot="1">
      <c r="A79" s="253" t="s">
        <v>86</v>
      </c>
      <c r="B79" s="272" t="s">
        <v>93</v>
      </c>
      <c r="C79" s="235" t="s">
        <v>64</v>
      </c>
      <c r="D79" s="236"/>
      <c r="E79" s="297"/>
      <c r="F79" s="309"/>
      <c r="G79" s="185"/>
      <c r="H79" s="185"/>
      <c r="I79" s="185"/>
      <c r="J79" s="185"/>
      <c r="K79" s="185"/>
      <c r="L79" s="185"/>
      <c r="M79" s="185"/>
      <c r="N79" s="185"/>
      <c r="O79" s="185"/>
      <c r="P79" s="229"/>
      <c r="Q79" s="185"/>
      <c r="R79" s="185"/>
      <c r="S79" s="185"/>
      <c r="T79" s="185"/>
      <c r="U79" s="137"/>
      <c r="V79" s="236"/>
      <c r="W79" s="185"/>
      <c r="X79" s="185"/>
      <c r="Y79" s="137"/>
      <c r="Z79" s="137"/>
    </row>
    <row r="80" spans="1:26" s="159" customFormat="1" ht="15">
      <c r="A80" s="241" t="s">
        <v>113</v>
      </c>
      <c r="B80" s="273" t="s">
        <v>151</v>
      </c>
      <c r="C80" s="182" t="s">
        <v>53</v>
      </c>
      <c r="D80" s="287"/>
      <c r="E80" s="295"/>
      <c r="F80" s="307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237"/>
      <c r="S80" s="238"/>
      <c r="T80" s="168"/>
      <c r="U80" s="137"/>
      <c r="V80" s="55"/>
      <c r="W80" s="137"/>
      <c r="X80" s="167"/>
      <c r="Y80" s="137"/>
      <c r="Z80" s="137"/>
    </row>
    <row r="81" spans="1:26" s="159" customFormat="1" ht="15">
      <c r="A81" s="242" t="s">
        <v>112</v>
      </c>
      <c r="B81" s="274" t="s">
        <v>88</v>
      </c>
      <c r="C81" s="183" t="s">
        <v>53</v>
      </c>
      <c r="D81" s="287"/>
      <c r="E81" s="295"/>
      <c r="F81" s="307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238"/>
      <c r="S81" s="238"/>
      <c r="T81" s="168"/>
      <c r="U81" s="137"/>
      <c r="V81" s="55"/>
      <c r="W81" s="137"/>
      <c r="X81" s="167"/>
      <c r="Y81" s="137"/>
      <c r="Z81" s="137"/>
    </row>
    <row r="82" spans="1:26" s="159" customFormat="1" ht="15">
      <c r="A82" s="242" t="s">
        <v>89</v>
      </c>
      <c r="B82" s="274" t="s">
        <v>90</v>
      </c>
      <c r="C82" s="183" t="s">
        <v>60</v>
      </c>
      <c r="D82" s="287"/>
      <c r="E82" s="295"/>
      <c r="F82" s="307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238"/>
      <c r="S82" s="238"/>
      <c r="T82" s="168"/>
      <c r="U82" s="137"/>
      <c r="V82" s="55"/>
      <c r="W82" s="137"/>
      <c r="X82" s="167"/>
      <c r="Y82" s="137"/>
      <c r="Z82" s="137"/>
    </row>
    <row r="83" spans="1:26" s="159" customFormat="1" ht="15">
      <c r="A83" s="242" t="s">
        <v>145</v>
      </c>
      <c r="B83" s="274" t="s">
        <v>136</v>
      </c>
      <c r="C83" s="183" t="s">
        <v>55</v>
      </c>
      <c r="D83" s="287"/>
      <c r="E83" s="295"/>
      <c r="F83" s="307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238"/>
      <c r="S83" s="238"/>
      <c r="T83" s="168"/>
      <c r="U83" s="137"/>
      <c r="V83" s="55"/>
      <c r="W83" s="137"/>
      <c r="X83" s="167"/>
      <c r="Y83" s="137"/>
      <c r="Z83" s="137"/>
    </row>
    <row r="84" spans="1:26" s="159" customFormat="1" ht="15">
      <c r="A84" s="242" t="s">
        <v>114</v>
      </c>
      <c r="B84" s="274" t="s">
        <v>87</v>
      </c>
      <c r="C84" s="183" t="s">
        <v>52</v>
      </c>
      <c r="D84" s="287"/>
      <c r="E84" s="295"/>
      <c r="F84" s="307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238"/>
      <c r="S84" s="238"/>
      <c r="T84" s="168"/>
      <c r="U84" s="137"/>
      <c r="V84" s="55"/>
      <c r="W84" s="137"/>
      <c r="X84" s="167"/>
      <c r="Y84" s="137"/>
      <c r="Z84" s="137"/>
    </row>
    <row r="85" spans="1:26" s="159" customFormat="1" ht="15">
      <c r="A85" s="242" t="s">
        <v>276</v>
      </c>
      <c r="B85" s="274" t="s">
        <v>275</v>
      </c>
      <c r="C85" s="205" t="s">
        <v>272</v>
      </c>
      <c r="D85" s="287"/>
      <c r="E85" s="295"/>
      <c r="F85" s="307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238"/>
      <c r="S85" s="238"/>
      <c r="T85" s="168"/>
      <c r="U85" s="137"/>
      <c r="V85" s="55"/>
      <c r="W85" s="137"/>
      <c r="X85" s="167"/>
      <c r="Y85" s="137"/>
      <c r="Z85" s="137"/>
    </row>
    <row r="86" spans="1:26" s="159" customFormat="1" ht="15">
      <c r="A86" s="242" t="s">
        <v>273</v>
      </c>
      <c r="B86" s="274" t="s">
        <v>274</v>
      </c>
      <c r="C86" s="205" t="s">
        <v>52</v>
      </c>
      <c r="D86" s="287"/>
      <c r="E86" s="295"/>
      <c r="F86" s="307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238"/>
      <c r="S86" s="238"/>
      <c r="T86" s="168"/>
      <c r="U86" s="137"/>
      <c r="V86" s="55"/>
      <c r="W86" s="137"/>
      <c r="X86" s="167"/>
      <c r="Y86" s="137"/>
      <c r="Z86" s="137"/>
    </row>
    <row r="87" spans="1:26" s="159" customFormat="1" ht="15">
      <c r="A87" s="242" t="s">
        <v>91</v>
      </c>
      <c r="B87" s="274" t="s">
        <v>92</v>
      </c>
      <c r="C87" s="183" t="s">
        <v>62</v>
      </c>
      <c r="D87" s="287"/>
      <c r="E87" s="295"/>
      <c r="F87" s="307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238"/>
      <c r="S87" s="238"/>
      <c r="T87" s="168"/>
      <c r="U87" s="137"/>
      <c r="V87" s="55"/>
      <c r="W87" s="137"/>
      <c r="X87" s="167"/>
      <c r="Y87" s="137"/>
      <c r="Z87" s="137"/>
    </row>
    <row r="88" spans="1:26" s="159" customFormat="1" ht="15">
      <c r="A88" s="242" t="s">
        <v>170</v>
      </c>
      <c r="B88" s="275" t="s">
        <v>166</v>
      </c>
      <c r="C88" s="104" t="s">
        <v>171</v>
      </c>
      <c r="D88" s="287"/>
      <c r="E88" s="295"/>
      <c r="F88" s="307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238"/>
      <c r="S88" s="238"/>
      <c r="T88" s="168"/>
      <c r="U88" s="137"/>
      <c r="V88" s="55"/>
      <c r="W88" s="137"/>
      <c r="X88" s="167"/>
      <c r="Y88" s="137"/>
      <c r="Z88" s="137"/>
    </row>
    <row r="89" spans="1:26" s="159" customFormat="1" ht="15">
      <c r="A89" s="242" t="s">
        <v>304</v>
      </c>
      <c r="B89" s="274" t="s">
        <v>296</v>
      </c>
      <c r="C89" s="183" t="s">
        <v>80</v>
      </c>
      <c r="D89" s="287"/>
      <c r="E89" s="295"/>
      <c r="F89" s="307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238"/>
      <c r="S89" s="238"/>
      <c r="T89" s="168"/>
      <c r="U89" s="137"/>
      <c r="V89" s="55"/>
      <c r="W89" s="137"/>
      <c r="X89" s="167"/>
      <c r="Y89" s="137"/>
      <c r="Z89" s="137"/>
    </row>
    <row r="90" spans="1:26" s="159" customFormat="1" ht="15.75" thickBot="1">
      <c r="A90" s="254" t="s">
        <v>146</v>
      </c>
      <c r="B90" s="276" t="s">
        <v>147</v>
      </c>
      <c r="C90" s="199" t="s">
        <v>55</v>
      </c>
      <c r="D90" s="287"/>
      <c r="E90" s="295"/>
      <c r="F90" s="307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238"/>
      <c r="S90" s="238"/>
      <c r="T90" s="168"/>
      <c r="U90" s="137"/>
      <c r="V90" s="55"/>
      <c r="W90" s="137"/>
      <c r="X90" s="167"/>
      <c r="Y90" s="137"/>
      <c r="Z90" s="137"/>
    </row>
    <row r="91" spans="1:21" s="37" customFormat="1" ht="15">
      <c r="A91" s="136"/>
      <c r="B91" s="261"/>
      <c r="C91" s="72"/>
      <c r="D91" s="261"/>
      <c r="E91" s="296"/>
      <c r="F91" s="308"/>
      <c r="G91" s="36"/>
      <c r="H91" s="36"/>
      <c r="I91" s="36"/>
      <c r="J91" s="36"/>
      <c r="K91" s="36"/>
      <c r="L91" s="36"/>
      <c r="M91" s="36"/>
      <c r="N91" s="36"/>
      <c r="O91" s="36"/>
      <c r="P91" s="55"/>
      <c r="Q91" s="48"/>
      <c r="R91" s="36"/>
      <c r="S91" s="41"/>
      <c r="T91" s="36"/>
      <c r="U91" s="36"/>
    </row>
    <row r="92" spans="1:21" s="37" customFormat="1" ht="15">
      <c r="A92" s="136"/>
      <c r="B92" s="261"/>
      <c r="C92" s="72"/>
      <c r="D92" s="261"/>
      <c r="E92" s="296"/>
      <c r="F92" s="308"/>
      <c r="G92" s="36"/>
      <c r="H92" s="36"/>
      <c r="I92" s="36"/>
      <c r="J92" s="36"/>
      <c r="K92" s="36"/>
      <c r="L92" s="36"/>
      <c r="M92" s="36"/>
      <c r="N92" s="36"/>
      <c r="O92" s="36"/>
      <c r="P92" s="55"/>
      <c r="Q92" s="48"/>
      <c r="R92" s="36"/>
      <c r="S92" s="36"/>
      <c r="T92" s="36"/>
      <c r="U92" s="36"/>
    </row>
    <row r="93" spans="1:21" s="32" customFormat="1" ht="15">
      <c r="A93" s="250"/>
      <c r="B93" s="255"/>
      <c r="C93" s="73"/>
      <c r="D93" s="255"/>
      <c r="E93" s="277"/>
      <c r="F93" s="310"/>
      <c r="G93" s="35"/>
      <c r="H93" s="35"/>
      <c r="I93" s="35"/>
      <c r="J93" s="35"/>
      <c r="K93" s="35"/>
      <c r="L93" s="35"/>
      <c r="M93" s="36"/>
      <c r="N93" s="35"/>
      <c r="O93" s="35"/>
      <c r="P93" s="56"/>
      <c r="Q93" s="49"/>
      <c r="R93" s="35"/>
      <c r="S93" s="35"/>
      <c r="T93" s="35"/>
      <c r="U93" s="35"/>
    </row>
    <row r="94" spans="1:21" s="32" customFormat="1" ht="15">
      <c r="A94" s="255"/>
      <c r="B94" s="277"/>
      <c r="C94" s="74"/>
      <c r="D94" s="255"/>
      <c r="E94" s="277"/>
      <c r="F94" s="310"/>
      <c r="G94" s="35"/>
      <c r="H94" s="35"/>
      <c r="I94" s="35"/>
      <c r="J94" s="35"/>
      <c r="K94" s="35"/>
      <c r="L94" s="35"/>
      <c r="M94" s="36"/>
      <c r="N94" s="36"/>
      <c r="O94" s="35"/>
      <c r="P94" s="56"/>
      <c r="Q94" s="49"/>
      <c r="R94" s="35"/>
      <c r="S94" s="35"/>
      <c r="T94" s="35"/>
      <c r="U94" s="35"/>
    </row>
    <row r="95" spans="1:21" s="32" customFormat="1" ht="15">
      <c r="A95" s="255"/>
      <c r="B95" s="277"/>
      <c r="C95" s="74"/>
      <c r="D95" s="255"/>
      <c r="E95" s="277"/>
      <c r="F95" s="310"/>
      <c r="G95" s="35"/>
      <c r="H95" s="35"/>
      <c r="I95" s="35"/>
      <c r="J95" s="35"/>
      <c r="K95" s="35"/>
      <c r="L95" s="35"/>
      <c r="M95" s="36"/>
      <c r="N95" s="35"/>
      <c r="O95" s="35"/>
      <c r="P95" s="56"/>
      <c r="Q95" s="49"/>
      <c r="R95" s="35"/>
      <c r="S95" s="35"/>
      <c r="T95" s="35"/>
      <c r="U95" s="35"/>
    </row>
    <row r="96" spans="1:21" s="32" customFormat="1" ht="15">
      <c r="A96" s="256" t="s">
        <v>305</v>
      </c>
      <c r="B96" s="277"/>
      <c r="C96" s="74"/>
      <c r="D96" s="255"/>
      <c r="E96" s="277"/>
      <c r="F96" s="310"/>
      <c r="G96" s="35"/>
      <c r="H96" s="35"/>
      <c r="I96" s="35"/>
      <c r="J96" s="35"/>
      <c r="K96" s="35"/>
      <c r="L96" s="35"/>
      <c r="M96" s="36"/>
      <c r="N96" s="35"/>
      <c r="O96" s="35"/>
      <c r="P96" s="56"/>
      <c r="Q96" s="49"/>
      <c r="R96" s="35"/>
      <c r="S96" s="35"/>
      <c r="T96" s="35"/>
      <c r="U96" s="35"/>
    </row>
    <row r="97" spans="1:21" s="32" customFormat="1" ht="15">
      <c r="A97" s="256" t="s">
        <v>306</v>
      </c>
      <c r="B97" s="277"/>
      <c r="C97" s="74"/>
      <c r="D97" s="255"/>
      <c r="E97" s="277"/>
      <c r="F97" s="310"/>
      <c r="G97" s="35"/>
      <c r="H97" s="35"/>
      <c r="I97" s="35"/>
      <c r="J97" s="35"/>
      <c r="K97" s="35"/>
      <c r="L97" s="35"/>
      <c r="M97" s="36"/>
      <c r="N97" s="35"/>
      <c r="O97" s="35"/>
      <c r="P97" s="56"/>
      <c r="Q97" s="49"/>
      <c r="R97" s="35"/>
      <c r="S97" s="35"/>
      <c r="T97" s="35"/>
      <c r="U97" s="35"/>
    </row>
    <row r="98" spans="1:21" s="32" customFormat="1" ht="15">
      <c r="A98" s="257" t="s">
        <v>55</v>
      </c>
      <c r="B98" s="277"/>
      <c r="C98" s="74"/>
      <c r="D98" s="255"/>
      <c r="E98" s="277"/>
      <c r="F98" s="310"/>
      <c r="G98" s="35"/>
      <c r="H98" s="35"/>
      <c r="I98" s="35"/>
      <c r="J98" s="35"/>
      <c r="K98" s="35"/>
      <c r="L98" s="35"/>
      <c r="M98" s="36"/>
      <c r="N98" s="35"/>
      <c r="O98" s="35"/>
      <c r="P98" s="56"/>
      <c r="Q98" s="49"/>
      <c r="R98" s="35"/>
      <c r="S98" s="35"/>
      <c r="T98" s="35"/>
      <c r="U98" s="35"/>
    </row>
    <row r="99" spans="1:21" s="32" customFormat="1" ht="15">
      <c r="A99" s="258" t="s">
        <v>307</v>
      </c>
      <c r="B99" s="255"/>
      <c r="C99" s="73"/>
      <c r="D99" s="255"/>
      <c r="E99" s="277"/>
      <c r="F99" s="310"/>
      <c r="G99" s="35"/>
      <c r="H99" s="35"/>
      <c r="I99" s="35"/>
      <c r="J99" s="35"/>
      <c r="K99" s="35"/>
      <c r="L99" s="35"/>
      <c r="M99" s="36"/>
      <c r="N99" s="35"/>
      <c r="O99" s="35"/>
      <c r="P99" s="56"/>
      <c r="Q99" s="49"/>
      <c r="R99" s="35"/>
      <c r="S99" s="35"/>
      <c r="T99" s="35"/>
      <c r="U99" s="35"/>
    </row>
    <row r="100" spans="1:21" s="32" customFormat="1" ht="15">
      <c r="A100" s="259" t="s">
        <v>308</v>
      </c>
      <c r="B100" s="255"/>
      <c r="C100" s="73"/>
      <c r="D100" s="255"/>
      <c r="E100" s="277"/>
      <c r="F100" s="310"/>
      <c r="G100" s="35"/>
      <c r="H100" s="35"/>
      <c r="I100" s="35"/>
      <c r="J100" s="35"/>
      <c r="K100" s="35"/>
      <c r="L100" s="35"/>
      <c r="M100" s="36"/>
      <c r="N100" s="35"/>
      <c r="O100" s="35"/>
      <c r="P100" s="56"/>
      <c r="Q100" s="49"/>
      <c r="R100" s="35"/>
      <c r="S100" s="35"/>
      <c r="T100" s="35"/>
      <c r="U100" s="35"/>
    </row>
    <row r="101" spans="1:21" s="32" customFormat="1" ht="15">
      <c r="A101" s="250"/>
      <c r="B101" s="255"/>
      <c r="C101" s="73"/>
      <c r="D101" s="255"/>
      <c r="E101" s="277"/>
      <c r="F101" s="310"/>
      <c r="G101" s="35"/>
      <c r="H101" s="35"/>
      <c r="I101" s="35"/>
      <c r="J101" s="35"/>
      <c r="K101" s="35"/>
      <c r="L101" s="35"/>
      <c r="M101" s="36"/>
      <c r="N101" s="35"/>
      <c r="O101" s="35"/>
      <c r="P101" s="56"/>
      <c r="Q101" s="49"/>
      <c r="R101" s="35"/>
      <c r="S101" s="35"/>
      <c r="T101" s="35"/>
      <c r="U101" s="35"/>
    </row>
    <row r="102" spans="1:21" s="32" customFormat="1" ht="15">
      <c r="A102" s="250"/>
      <c r="B102" s="255"/>
      <c r="C102" s="73"/>
      <c r="D102" s="255"/>
      <c r="E102" s="277"/>
      <c r="F102" s="310"/>
      <c r="G102" s="35"/>
      <c r="H102" s="35"/>
      <c r="I102" s="35"/>
      <c r="J102" s="35"/>
      <c r="K102" s="35"/>
      <c r="L102" s="35"/>
      <c r="M102" s="36"/>
      <c r="N102" s="35"/>
      <c r="O102" s="35"/>
      <c r="P102" s="56"/>
      <c r="Q102" s="49"/>
      <c r="R102" s="35"/>
      <c r="S102" s="35"/>
      <c r="T102" s="35"/>
      <c r="U102" s="35"/>
    </row>
    <row r="103" spans="1:21" s="32" customFormat="1" ht="15">
      <c r="A103" s="250"/>
      <c r="B103" s="255"/>
      <c r="C103" s="73"/>
      <c r="D103" s="255"/>
      <c r="E103" s="277"/>
      <c r="F103" s="310"/>
      <c r="G103" s="35"/>
      <c r="H103" s="35"/>
      <c r="I103" s="35"/>
      <c r="J103" s="35"/>
      <c r="K103" s="35"/>
      <c r="L103" s="35"/>
      <c r="M103" s="36"/>
      <c r="N103" s="36"/>
      <c r="O103" s="35"/>
      <c r="P103" s="56"/>
      <c r="Q103" s="49"/>
      <c r="R103" s="35"/>
      <c r="S103" s="35"/>
      <c r="T103" s="35"/>
      <c r="U103" s="35"/>
    </row>
    <row r="104" spans="1:21" s="32" customFormat="1" ht="15">
      <c r="A104" s="333" t="s">
        <v>317</v>
      </c>
      <c r="B104" s="255"/>
      <c r="C104" s="73"/>
      <c r="D104" s="255"/>
      <c r="E104" s="277"/>
      <c r="F104" s="311"/>
      <c r="G104" s="35"/>
      <c r="H104" s="35"/>
      <c r="I104" s="35"/>
      <c r="J104" s="35"/>
      <c r="K104" s="35"/>
      <c r="L104" s="35"/>
      <c r="M104" s="36"/>
      <c r="N104" s="35"/>
      <c r="O104" s="35"/>
      <c r="P104" s="56"/>
      <c r="Q104" s="49"/>
      <c r="R104" s="35"/>
      <c r="S104" s="35"/>
      <c r="T104" s="35"/>
      <c r="U104" s="35"/>
    </row>
    <row r="105" spans="1:21" s="32" customFormat="1" ht="15">
      <c r="A105" s="250"/>
      <c r="B105" s="255"/>
      <c r="C105" s="73"/>
      <c r="D105" s="255"/>
      <c r="E105" s="277"/>
      <c r="F105" s="311"/>
      <c r="G105" s="35"/>
      <c r="H105" s="35"/>
      <c r="I105" s="35"/>
      <c r="J105" s="35"/>
      <c r="K105" s="35"/>
      <c r="L105" s="35"/>
      <c r="M105" s="36"/>
      <c r="N105" s="35"/>
      <c r="O105" s="35"/>
      <c r="P105" s="56"/>
      <c r="Q105" s="49"/>
      <c r="R105" s="35"/>
      <c r="S105" s="35"/>
      <c r="T105" s="35"/>
      <c r="U105" s="35"/>
    </row>
    <row r="106" spans="1:21" s="32" customFormat="1" ht="15">
      <c r="A106" s="250"/>
      <c r="B106" s="255"/>
      <c r="C106" s="73"/>
      <c r="D106" s="255"/>
      <c r="E106" s="277"/>
      <c r="F106" s="312"/>
      <c r="G106" s="35"/>
      <c r="H106" s="35"/>
      <c r="I106" s="35"/>
      <c r="J106" s="35"/>
      <c r="K106" s="35"/>
      <c r="L106" s="35"/>
      <c r="M106" s="36"/>
      <c r="N106" s="35"/>
      <c r="O106" s="35"/>
      <c r="P106" s="56"/>
      <c r="Q106" s="49"/>
      <c r="R106" s="35"/>
      <c r="S106" s="35"/>
      <c r="T106" s="35"/>
      <c r="U106" s="35"/>
    </row>
    <row r="107" spans="1:21" s="32" customFormat="1" ht="15.75">
      <c r="A107" s="250"/>
      <c r="B107" s="255"/>
      <c r="C107" s="73"/>
      <c r="D107" s="255"/>
      <c r="E107" s="277"/>
      <c r="F107" s="313"/>
      <c r="G107" s="35"/>
      <c r="H107" s="35"/>
      <c r="I107" s="35"/>
      <c r="J107" s="35"/>
      <c r="K107" s="35"/>
      <c r="L107" s="35"/>
      <c r="M107" s="36"/>
      <c r="N107" s="35"/>
      <c r="O107" s="35"/>
      <c r="P107" s="56"/>
      <c r="Q107" s="49"/>
      <c r="R107" s="35"/>
      <c r="S107" s="35"/>
      <c r="T107" s="35"/>
      <c r="U107" s="35"/>
    </row>
    <row r="108" spans="1:21" s="32" customFormat="1" ht="15.75">
      <c r="A108" s="250"/>
      <c r="B108" s="255"/>
      <c r="C108" s="73"/>
      <c r="D108" s="255"/>
      <c r="E108" s="277"/>
      <c r="F108" s="314"/>
      <c r="G108" s="35"/>
      <c r="H108" s="35"/>
      <c r="I108" s="35"/>
      <c r="J108" s="35"/>
      <c r="K108" s="35"/>
      <c r="L108" s="35"/>
      <c r="M108" s="36"/>
      <c r="N108" s="35"/>
      <c r="O108" s="35"/>
      <c r="P108" s="56"/>
      <c r="Q108" s="49"/>
      <c r="R108" s="35"/>
      <c r="S108" s="35"/>
      <c r="T108" s="35"/>
      <c r="U108" s="35"/>
    </row>
    <row r="109" spans="1:21" s="32" customFormat="1" ht="15">
      <c r="A109" s="250"/>
      <c r="B109" s="255"/>
      <c r="C109" s="73"/>
      <c r="D109" s="255"/>
      <c r="E109" s="277"/>
      <c r="F109" s="310"/>
      <c r="G109" s="35"/>
      <c r="H109" s="35"/>
      <c r="I109" s="35"/>
      <c r="J109" s="35"/>
      <c r="K109" s="35"/>
      <c r="L109" s="35"/>
      <c r="M109" s="36"/>
      <c r="N109" s="35"/>
      <c r="O109" s="35"/>
      <c r="P109" s="56"/>
      <c r="Q109" s="49"/>
      <c r="R109" s="35"/>
      <c r="S109" s="35"/>
      <c r="T109" s="35"/>
      <c r="U109" s="35"/>
    </row>
    <row r="110" spans="1:21" s="32" customFormat="1" ht="15">
      <c r="A110" s="250"/>
      <c r="B110" s="255"/>
      <c r="C110" s="73"/>
      <c r="D110" s="255"/>
      <c r="E110" s="277"/>
      <c r="F110" s="310"/>
      <c r="G110" s="35"/>
      <c r="H110" s="35"/>
      <c r="I110" s="35"/>
      <c r="J110" s="35"/>
      <c r="K110" s="35"/>
      <c r="L110" s="35"/>
      <c r="M110" s="36"/>
      <c r="N110" s="35"/>
      <c r="O110" s="35"/>
      <c r="P110" s="56"/>
      <c r="Q110" s="49"/>
      <c r="R110" s="35"/>
      <c r="S110" s="35"/>
      <c r="T110" s="35"/>
      <c r="U110" s="35"/>
    </row>
    <row r="111" spans="1:21" s="32" customFormat="1" ht="15">
      <c r="A111" s="250"/>
      <c r="B111" s="255"/>
      <c r="C111" s="73"/>
      <c r="D111" s="255"/>
      <c r="E111" s="277"/>
      <c r="F111" s="310"/>
      <c r="G111" s="35"/>
      <c r="H111" s="35"/>
      <c r="I111" s="35"/>
      <c r="J111" s="35"/>
      <c r="K111" s="35"/>
      <c r="L111" s="35"/>
      <c r="M111" s="36"/>
      <c r="N111" s="35"/>
      <c r="O111" s="35"/>
      <c r="P111" s="56"/>
      <c r="Q111" s="49"/>
      <c r="R111" s="35"/>
      <c r="S111" s="35"/>
      <c r="T111" s="35"/>
      <c r="U111" s="35"/>
    </row>
    <row r="112" spans="1:21" s="32" customFormat="1" ht="15">
      <c r="A112" s="250"/>
      <c r="B112" s="255"/>
      <c r="C112" s="73"/>
      <c r="D112" s="255"/>
      <c r="E112" s="277"/>
      <c r="F112" s="310"/>
      <c r="G112" s="35"/>
      <c r="H112" s="35"/>
      <c r="I112" s="35"/>
      <c r="J112" s="35"/>
      <c r="K112" s="35"/>
      <c r="L112" s="35"/>
      <c r="M112" s="36"/>
      <c r="N112" s="35"/>
      <c r="O112" s="35"/>
      <c r="P112" s="56"/>
      <c r="Q112" s="49"/>
      <c r="R112" s="35"/>
      <c r="S112" s="35"/>
      <c r="T112" s="35"/>
      <c r="U112" s="35"/>
    </row>
    <row r="113" spans="1:21" s="32" customFormat="1" ht="15">
      <c r="A113" s="250"/>
      <c r="B113" s="255"/>
      <c r="C113" s="73"/>
      <c r="D113" s="255"/>
      <c r="E113" s="277"/>
      <c r="F113" s="310"/>
      <c r="G113" s="35"/>
      <c r="H113" s="35"/>
      <c r="I113" s="35"/>
      <c r="J113" s="35"/>
      <c r="K113" s="35"/>
      <c r="L113" s="35"/>
      <c r="M113" s="36"/>
      <c r="N113" s="35"/>
      <c r="O113" s="35"/>
      <c r="P113" s="56"/>
      <c r="Q113" s="49"/>
      <c r="R113" s="35"/>
      <c r="S113" s="35"/>
      <c r="T113" s="35"/>
      <c r="U113" s="35"/>
    </row>
    <row r="114" spans="1:21" s="32" customFormat="1" ht="15">
      <c r="A114" s="250"/>
      <c r="B114" s="255"/>
      <c r="C114" s="73"/>
      <c r="D114" s="255"/>
      <c r="E114" s="277"/>
      <c r="F114" s="310"/>
      <c r="G114" s="35"/>
      <c r="H114" s="35"/>
      <c r="I114" s="35"/>
      <c r="J114" s="35"/>
      <c r="K114" s="35"/>
      <c r="L114" s="35"/>
      <c r="M114" s="36"/>
      <c r="N114" s="35"/>
      <c r="O114" s="35"/>
      <c r="P114" s="56"/>
      <c r="Q114" s="49"/>
      <c r="R114" s="35"/>
      <c r="S114" s="35"/>
      <c r="T114" s="35"/>
      <c r="U114" s="35"/>
    </row>
    <row r="115" spans="1:21" s="32" customFormat="1" ht="15">
      <c r="A115" s="250"/>
      <c r="B115" s="255"/>
      <c r="C115" s="73"/>
      <c r="D115" s="255"/>
      <c r="E115" s="277"/>
      <c r="F115" s="310"/>
      <c r="G115" s="35"/>
      <c r="H115" s="35"/>
      <c r="I115" s="35"/>
      <c r="J115" s="35"/>
      <c r="K115" s="35"/>
      <c r="L115" s="35"/>
      <c r="M115" s="36"/>
      <c r="N115" s="35"/>
      <c r="O115" s="35"/>
      <c r="P115" s="56"/>
      <c r="Q115" s="49"/>
      <c r="R115" s="35"/>
      <c r="S115" s="35"/>
      <c r="T115" s="35"/>
      <c r="U115" s="35"/>
    </row>
    <row r="116" spans="1:21" s="32" customFormat="1" ht="15">
      <c r="A116" s="250"/>
      <c r="B116" s="255"/>
      <c r="C116" s="73"/>
      <c r="D116" s="255"/>
      <c r="E116" s="277"/>
      <c r="F116" s="310"/>
      <c r="G116" s="35"/>
      <c r="H116" s="35"/>
      <c r="I116" s="35"/>
      <c r="J116" s="35"/>
      <c r="K116" s="35"/>
      <c r="L116" s="35"/>
      <c r="M116" s="36"/>
      <c r="N116" s="35"/>
      <c r="O116" s="35"/>
      <c r="P116" s="56"/>
      <c r="Q116" s="49"/>
      <c r="R116" s="35"/>
      <c r="S116" s="35"/>
      <c r="T116" s="35"/>
      <c r="U116" s="35"/>
    </row>
    <row r="117" spans="1:21" s="32" customFormat="1" ht="15">
      <c r="A117" s="250"/>
      <c r="B117" s="255"/>
      <c r="C117" s="73"/>
      <c r="D117" s="255"/>
      <c r="E117" s="277"/>
      <c r="F117" s="310"/>
      <c r="G117" s="35"/>
      <c r="H117" s="35"/>
      <c r="I117" s="35"/>
      <c r="J117" s="35"/>
      <c r="K117" s="35"/>
      <c r="L117" s="35"/>
      <c r="M117" s="36"/>
      <c r="N117" s="35"/>
      <c r="O117" s="35"/>
      <c r="P117" s="56"/>
      <c r="Q117" s="49"/>
      <c r="R117" s="35"/>
      <c r="S117" s="35"/>
      <c r="T117" s="35"/>
      <c r="U117" s="35"/>
    </row>
    <row r="118" spans="1:21" s="32" customFormat="1" ht="15">
      <c r="A118" s="250"/>
      <c r="B118" s="255"/>
      <c r="C118" s="73"/>
      <c r="D118" s="255"/>
      <c r="E118" s="277"/>
      <c r="F118" s="310"/>
      <c r="G118" s="35"/>
      <c r="H118" s="35"/>
      <c r="I118" s="35"/>
      <c r="J118" s="35"/>
      <c r="K118" s="35"/>
      <c r="L118" s="35"/>
      <c r="M118" s="36"/>
      <c r="N118" s="35"/>
      <c r="O118" s="35"/>
      <c r="P118" s="56"/>
      <c r="Q118" s="49"/>
      <c r="R118" s="35"/>
      <c r="S118" s="35"/>
      <c r="T118" s="35"/>
      <c r="U118" s="35"/>
    </row>
    <row r="119" spans="1:21" s="32" customFormat="1" ht="15">
      <c r="A119" s="250"/>
      <c r="B119" s="255"/>
      <c r="C119" s="73"/>
      <c r="D119" s="255"/>
      <c r="E119" s="277"/>
      <c r="F119" s="310"/>
      <c r="G119" s="35"/>
      <c r="H119" s="35"/>
      <c r="I119" s="35"/>
      <c r="J119" s="35"/>
      <c r="K119" s="35"/>
      <c r="L119" s="35"/>
      <c r="M119" s="36"/>
      <c r="N119" s="35"/>
      <c r="O119" s="35"/>
      <c r="P119" s="56"/>
      <c r="Q119" s="49"/>
      <c r="R119" s="35"/>
      <c r="S119" s="35"/>
      <c r="T119" s="35"/>
      <c r="U119" s="35"/>
    </row>
    <row r="120" spans="1:21" s="32" customFormat="1" ht="15">
      <c r="A120" s="250"/>
      <c r="B120" s="255"/>
      <c r="C120" s="73"/>
      <c r="D120" s="255"/>
      <c r="E120" s="277"/>
      <c r="F120" s="310"/>
      <c r="G120" s="35"/>
      <c r="H120" s="35"/>
      <c r="I120" s="35"/>
      <c r="J120" s="35"/>
      <c r="K120" s="35"/>
      <c r="L120" s="35"/>
      <c r="M120" s="36"/>
      <c r="N120" s="35"/>
      <c r="O120" s="35"/>
      <c r="P120" s="56"/>
      <c r="Q120" s="49"/>
      <c r="R120" s="35"/>
      <c r="S120" s="35"/>
      <c r="T120" s="35"/>
      <c r="U120" s="35"/>
    </row>
    <row r="121" spans="1:21" s="32" customFormat="1" ht="15">
      <c r="A121" s="250"/>
      <c r="B121" s="255"/>
      <c r="C121" s="73"/>
      <c r="D121" s="255"/>
      <c r="E121" s="277"/>
      <c r="F121" s="310"/>
      <c r="G121" s="35"/>
      <c r="H121" s="35"/>
      <c r="I121" s="35"/>
      <c r="J121" s="35"/>
      <c r="K121" s="35"/>
      <c r="L121" s="35"/>
      <c r="M121" s="36"/>
      <c r="N121" s="35"/>
      <c r="O121" s="35"/>
      <c r="P121" s="56"/>
      <c r="Q121" s="49"/>
      <c r="R121" s="35"/>
      <c r="S121" s="35"/>
      <c r="T121" s="35"/>
      <c r="U121" s="35"/>
    </row>
    <row r="122" spans="1:21" s="32" customFormat="1" ht="15">
      <c r="A122" s="250"/>
      <c r="B122" s="255"/>
      <c r="C122" s="73"/>
      <c r="D122" s="255"/>
      <c r="E122" s="277"/>
      <c r="F122" s="310"/>
      <c r="G122" s="35"/>
      <c r="H122" s="35"/>
      <c r="I122" s="35"/>
      <c r="J122" s="35"/>
      <c r="K122" s="35"/>
      <c r="L122" s="35"/>
      <c r="M122" s="36"/>
      <c r="N122" s="35"/>
      <c r="O122" s="35"/>
      <c r="P122" s="56"/>
      <c r="Q122" s="49"/>
      <c r="R122" s="35"/>
      <c r="S122" s="35"/>
      <c r="T122" s="35"/>
      <c r="U122" s="35"/>
    </row>
    <row r="123" spans="1:21" s="32" customFormat="1" ht="15">
      <c r="A123" s="250"/>
      <c r="B123" s="255"/>
      <c r="C123" s="73"/>
      <c r="D123" s="255"/>
      <c r="E123" s="277"/>
      <c r="F123" s="310"/>
      <c r="G123" s="35"/>
      <c r="H123" s="35"/>
      <c r="I123" s="35"/>
      <c r="J123" s="35"/>
      <c r="K123" s="35"/>
      <c r="L123" s="35"/>
      <c r="M123" s="36"/>
      <c r="N123" s="35"/>
      <c r="O123" s="35"/>
      <c r="P123" s="56"/>
      <c r="Q123" s="49"/>
      <c r="R123" s="35"/>
      <c r="S123" s="35"/>
      <c r="T123" s="35"/>
      <c r="U123" s="35"/>
    </row>
    <row r="124" spans="1:21" s="32" customFormat="1" ht="15">
      <c r="A124" s="250"/>
      <c r="B124" s="255"/>
      <c r="C124" s="73"/>
      <c r="D124" s="255"/>
      <c r="E124" s="277"/>
      <c r="F124" s="310"/>
      <c r="G124" s="35"/>
      <c r="H124" s="35"/>
      <c r="I124" s="35"/>
      <c r="J124" s="35"/>
      <c r="K124" s="35"/>
      <c r="L124" s="35"/>
      <c r="M124" s="36"/>
      <c r="N124" s="35"/>
      <c r="O124" s="35"/>
      <c r="P124" s="56"/>
      <c r="Q124" s="49"/>
      <c r="R124" s="35"/>
      <c r="S124" s="35"/>
      <c r="T124" s="35"/>
      <c r="U124" s="35"/>
    </row>
    <row r="125" spans="1:21" s="32" customFormat="1" ht="15">
      <c r="A125" s="250"/>
      <c r="B125" s="255"/>
      <c r="C125" s="73"/>
      <c r="D125" s="255"/>
      <c r="E125" s="277"/>
      <c r="F125" s="310"/>
      <c r="G125" s="35"/>
      <c r="H125" s="35"/>
      <c r="I125" s="35"/>
      <c r="J125" s="35"/>
      <c r="K125" s="35"/>
      <c r="L125" s="35"/>
      <c r="M125" s="36"/>
      <c r="N125" s="35"/>
      <c r="O125" s="35"/>
      <c r="P125" s="56"/>
      <c r="Q125" s="49"/>
      <c r="R125" s="35"/>
      <c r="S125" s="35"/>
      <c r="T125" s="35"/>
      <c r="U125" s="35"/>
    </row>
    <row r="126" spans="1:21" s="32" customFormat="1" ht="15">
      <c r="A126" s="250"/>
      <c r="B126" s="255"/>
      <c r="C126" s="73"/>
      <c r="D126" s="255"/>
      <c r="E126" s="277"/>
      <c r="F126" s="310"/>
      <c r="G126" s="35"/>
      <c r="H126" s="35"/>
      <c r="I126" s="35"/>
      <c r="J126" s="35"/>
      <c r="K126" s="35"/>
      <c r="L126" s="35"/>
      <c r="M126" s="36"/>
      <c r="N126" s="35"/>
      <c r="O126" s="35"/>
      <c r="P126" s="56"/>
      <c r="Q126" s="49"/>
      <c r="R126" s="35"/>
      <c r="S126" s="35"/>
      <c r="T126" s="35"/>
      <c r="U126" s="35"/>
    </row>
    <row r="127" spans="1:21" s="32" customFormat="1" ht="15">
      <c r="A127" s="250"/>
      <c r="B127" s="255"/>
      <c r="C127" s="73"/>
      <c r="D127" s="255"/>
      <c r="E127" s="277"/>
      <c r="F127" s="310"/>
      <c r="G127" s="35"/>
      <c r="H127" s="35"/>
      <c r="I127" s="35"/>
      <c r="J127" s="35"/>
      <c r="K127" s="35"/>
      <c r="L127" s="35"/>
      <c r="M127" s="36"/>
      <c r="N127" s="35"/>
      <c r="O127" s="35"/>
      <c r="P127" s="56"/>
      <c r="Q127" s="49"/>
      <c r="R127" s="35"/>
      <c r="S127" s="35"/>
      <c r="T127" s="35"/>
      <c r="U127" s="35"/>
    </row>
    <row r="128" spans="1:21" s="32" customFormat="1" ht="15">
      <c r="A128" s="250"/>
      <c r="B128" s="255"/>
      <c r="C128" s="73"/>
      <c r="D128" s="255"/>
      <c r="E128" s="277"/>
      <c r="F128" s="310"/>
      <c r="G128" s="35"/>
      <c r="H128" s="35"/>
      <c r="I128" s="35"/>
      <c r="J128" s="35"/>
      <c r="K128" s="35"/>
      <c r="L128" s="35"/>
      <c r="M128" s="36"/>
      <c r="N128" s="35"/>
      <c r="O128" s="35"/>
      <c r="P128" s="56"/>
      <c r="Q128" s="49"/>
      <c r="R128" s="35"/>
      <c r="S128" s="35"/>
      <c r="T128" s="35"/>
      <c r="U128" s="35"/>
    </row>
    <row r="129" spans="1:21" s="32" customFormat="1" ht="15">
      <c r="A129" s="250"/>
      <c r="B129" s="255"/>
      <c r="C129" s="73"/>
      <c r="D129" s="255"/>
      <c r="E129" s="277"/>
      <c r="F129" s="310"/>
      <c r="G129" s="35"/>
      <c r="H129" s="35"/>
      <c r="I129" s="35"/>
      <c r="J129" s="35"/>
      <c r="K129" s="35"/>
      <c r="L129" s="35"/>
      <c r="M129" s="36"/>
      <c r="N129" s="35"/>
      <c r="O129" s="35"/>
      <c r="P129" s="56"/>
      <c r="Q129" s="49"/>
      <c r="R129" s="35"/>
      <c r="S129" s="35"/>
      <c r="T129" s="35"/>
      <c r="U129" s="35"/>
    </row>
    <row r="130" spans="1:21" s="32" customFormat="1" ht="15">
      <c r="A130" s="250"/>
      <c r="B130" s="255"/>
      <c r="C130" s="73"/>
      <c r="D130" s="255"/>
      <c r="E130" s="277"/>
      <c r="F130" s="310"/>
      <c r="G130" s="35"/>
      <c r="H130" s="35"/>
      <c r="I130" s="35"/>
      <c r="J130" s="35"/>
      <c r="K130" s="35"/>
      <c r="L130" s="35"/>
      <c r="M130" s="36"/>
      <c r="N130" s="35"/>
      <c r="O130" s="35"/>
      <c r="P130" s="56"/>
      <c r="Q130" s="49"/>
      <c r="R130" s="35"/>
      <c r="S130" s="35"/>
      <c r="T130" s="35"/>
      <c r="U130" s="35"/>
    </row>
    <row r="131" spans="1:21" s="32" customFormat="1" ht="15">
      <c r="A131" s="250"/>
      <c r="B131" s="255"/>
      <c r="C131" s="73"/>
      <c r="D131" s="255"/>
      <c r="E131" s="277"/>
      <c r="F131" s="310"/>
      <c r="G131" s="35"/>
      <c r="H131" s="35"/>
      <c r="I131" s="35"/>
      <c r="J131" s="35"/>
      <c r="K131" s="35"/>
      <c r="L131" s="35"/>
      <c r="M131" s="36"/>
      <c r="N131" s="35"/>
      <c r="O131" s="35"/>
      <c r="P131" s="56"/>
      <c r="Q131" s="49"/>
      <c r="R131" s="35"/>
      <c r="S131" s="35"/>
      <c r="T131" s="35"/>
      <c r="U131" s="35"/>
    </row>
    <row r="132" spans="1:21" s="32" customFormat="1" ht="15">
      <c r="A132" s="250"/>
      <c r="B132" s="255"/>
      <c r="C132" s="73"/>
      <c r="D132" s="255"/>
      <c r="E132" s="277"/>
      <c r="F132" s="310"/>
      <c r="G132" s="35"/>
      <c r="H132" s="35"/>
      <c r="I132" s="35"/>
      <c r="J132" s="35"/>
      <c r="K132" s="35"/>
      <c r="L132" s="35"/>
      <c r="M132" s="36"/>
      <c r="N132" s="35"/>
      <c r="O132" s="35"/>
      <c r="P132" s="56"/>
      <c r="Q132" s="49"/>
      <c r="R132" s="35"/>
      <c r="S132" s="35"/>
      <c r="T132" s="35"/>
      <c r="U132" s="35"/>
    </row>
    <row r="133" spans="1:21" s="32" customFormat="1" ht="15">
      <c r="A133" s="250"/>
      <c r="B133" s="255"/>
      <c r="C133" s="73"/>
      <c r="D133" s="255"/>
      <c r="E133" s="277"/>
      <c r="F133" s="310"/>
      <c r="G133" s="35"/>
      <c r="H133" s="35"/>
      <c r="I133" s="35"/>
      <c r="J133" s="35"/>
      <c r="K133" s="35"/>
      <c r="L133" s="35"/>
      <c r="M133" s="36"/>
      <c r="N133" s="35"/>
      <c r="O133" s="35"/>
      <c r="P133" s="56"/>
      <c r="Q133" s="49"/>
      <c r="R133" s="35"/>
      <c r="S133" s="35"/>
      <c r="T133" s="35"/>
      <c r="U133" s="35"/>
    </row>
    <row r="134" spans="1:21" s="32" customFormat="1" ht="15">
      <c r="A134" s="250"/>
      <c r="B134" s="255"/>
      <c r="C134" s="73"/>
      <c r="D134" s="255"/>
      <c r="E134" s="277"/>
      <c r="F134" s="310"/>
      <c r="G134" s="35"/>
      <c r="H134" s="35"/>
      <c r="I134" s="35"/>
      <c r="J134" s="35"/>
      <c r="K134" s="35"/>
      <c r="L134" s="35"/>
      <c r="M134" s="36"/>
      <c r="N134" s="35"/>
      <c r="O134" s="35"/>
      <c r="P134" s="56"/>
      <c r="Q134" s="49"/>
      <c r="R134" s="35"/>
      <c r="S134" s="35"/>
      <c r="T134" s="35"/>
      <c r="U134" s="35"/>
    </row>
    <row r="135" spans="1:21" s="32" customFormat="1" ht="15">
      <c r="A135" s="250"/>
      <c r="B135" s="255"/>
      <c r="C135" s="73"/>
      <c r="D135" s="255"/>
      <c r="E135" s="277"/>
      <c r="F135" s="310"/>
      <c r="G135" s="35"/>
      <c r="H135" s="35"/>
      <c r="I135" s="35"/>
      <c r="J135" s="35"/>
      <c r="K135" s="35"/>
      <c r="L135" s="35"/>
      <c r="M135" s="36"/>
      <c r="N135" s="35"/>
      <c r="O135" s="35"/>
      <c r="P135" s="56"/>
      <c r="Q135" s="49"/>
      <c r="R135" s="35"/>
      <c r="S135" s="35"/>
      <c r="T135" s="35"/>
      <c r="U135" s="35"/>
    </row>
    <row r="136" spans="1:21" s="32" customFormat="1" ht="15">
      <c r="A136" s="250"/>
      <c r="B136" s="255"/>
      <c r="C136" s="73"/>
      <c r="D136" s="255"/>
      <c r="E136" s="277"/>
      <c r="F136" s="310"/>
      <c r="G136" s="35"/>
      <c r="H136" s="35"/>
      <c r="I136" s="35"/>
      <c r="J136" s="35"/>
      <c r="K136" s="35"/>
      <c r="L136" s="35"/>
      <c r="M136" s="36"/>
      <c r="N136" s="35"/>
      <c r="O136" s="35"/>
      <c r="P136" s="56"/>
      <c r="Q136" s="49"/>
      <c r="R136" s="35"/>
      <c r="S136" s="35"/>
      <c r="T136" s="35"/>
      <c r="U136" s="35"/>
    </row>
    <row r="137" spans="1:21" s="32" customFormat="1" ht="15">
      <c r="A137" s="250"/>
      <c r="B137" s="255"/>
      <c r="C137" s="73"/>
      <c r="D137" s="255"/>
      <c r="E137" s="277"/>
      <c r="F137" s="310"/>
      <c r="G137" s="35"/>
      <c r="H137" s="35"/>
      <c r="I137" s="35"/>
      <c r="J137" s="35"/>
      <c r="K137" s="35"/>
      <c r="L137" s="35"/>
      <c r="M137" s="36"/>
      <c r="N137" s="35"/>
      <c r="O137" s="35"/>
      <c r="P137" s="56"/>
      <c r="Q137" s="49"/>
      <c r="R137" s="35"/>
      <c r="S137" s="35"/>
      <c r="T137" s="35"/>
      <c r="U137" s="35"/>
    </row>
    <row r="138" spans="1:21" s="32" customFormat="1" ht="15">
      <c r="A138" s="250"/>
      <c r="B138" s="255"/>
      <c r="C138" s="73"/>
      <c r="D138" s="255"/>
      <c r="E138" s="277"/>
      <c r="F138" s="310"/>
      <c r="G138" s="35"/>
      <c r="H138" s="35"/>
      <c r="I138" s="35"/>
      <c r="J138" s="35"/>
      <c r="K138" s="35"/>
      <c r="L138" s="35"/>
      <c r="M138" s="36"/>
      <c r="N138" s="35"/>
      <c r="O138" s="35"/>
      <c r="P138" s="56"/>
      <c r="Q138" s="49"/>
      <c r="R138" s="35"/>
      <c r="S138" s="35"/>
      <c r="T138" s="35"/>
      <c r="U138" s="35"/>
    </row>
    <row r="139" spans="1:21" s="32" customFormat="1" ht="15">
      <c r="A139" s="250"/>
      <c r="B139" s="255"/>
      <c r="C139" s="73"/>
      <c r="D139" s="255"/>
      <c r="E139" s="277"/>
      <c r="F139" s="310"/>
      <c r="G139" s="35"/>
      <c r="H139" s="35"/>
      <c r="I139" s="35"/>
      <c r="J139" s="35"/>
      <c r="K139" s="35"/>
      <c r="L139" s="35"/>
      <c r="M139" s="36"/>
      <c r="N139" s="35"/>
      <c r="O139" s="35"/>
      <c r="P139" s="56"/>
      <c r="Q139" s="49"/>
      <c r="R139" s="35"/>
      <c r="S139" s="35"/>
      <c r="T139" s="35"/>
      <c r="U139" s="35"/>
    </row>
    <row r="140" spans="1:21" s="32" customFormat="1" ht="15">
      <c r="A140" s="250"/>
      <c r="B140" s="255"/>
      <c r="C140" s="73"/>
      <c r="D140" s="255"/>
      <c r="E140" s="277"/>
      <c r="F140" s="310"/>
      <c r="G140" s="35"/>
      <c r="H140" s="35"/>
      <c r="I140" s="35"/>
      <c r="J140" s="35"/>
      <c r="K140" s="35"/>
      <c r="L140" s="35"/>
      <c r="M140" s="36"/>
      <c r="N140" s="35"/>
      <c r="O140" s="35"/>
      <c r="P140" s="56"/>
      <c r="Q140" s="49"/>
      <c r="R140" s="35"/>
      <c r="S140" s="35"/>
      <c r="T140" s="35"/>
      <c r="U140" s="35"/>
    </row>
    <row r="141" spans="1:21" s="32" customFormat="1" ht="15">
      <c r="A141" s="250"/>
      <c r="B141" s="255"/>
      <c r="C141" s="73"/>
      <c r="D141" s="255"/>
      <c r="E141" s="277"/>
      <c r="F141" s="310"/>
      <c r="G141" s="35"/>
      <c r="H141" s="35"/>
      <c r="I141" s="35"/>
      <c r="J141" s="35"/>
      <c r="K141" s="35"/>
      <c r="L141" s="35"/>
      <c r="M141" s="36"/>
      <c r="N141" s="35"/>
      <c r="O141" s="35"/>
      <c r="P141" s="56"/>
      <c r="Q141" s="49"/>
      <c r="R141" s="35"/>
      <c r="S141" s="35"/>
      <c r="T141" s="35"/>
      <c r="U141" s="35"/>
    </row>
    <row r="142" spans="1:21" s="32" customFormat="1" ht="15">
      <c r="A142" s="250"/>
      <c r="B142" s="255"/>
      <c r="C142" s="73"/>
      <c r="D142" s="255"/>
      <c r="E142" s="277"/>
      <c r="F142" s="310"/>
      <c r="G142" s="35"/>
      <c r="H142" s="35"/>
      <c r="I142" s="35"/>
      <c r="J142" s="35"/>
      <c r="K142" s="35"/>
      <c r="L142" s="35"/>
      <c r="M142" s="36"/>
      <c r="N142" s="35"/>
      <c r="O142" s="35"/>
      <c r="P142" s="56"/>
      <c r="Q142" s="49"/>
      <c r="R142" s="35"/>
      <c r="S142" s="35"/>
      <c r="T142" s="35"/>
      <c r="U142" s="35"/>
    </row>
    <row r="143" spans="1:21" s="32" customFormat="1" ht="15">
      <c r="A143" s="250"/>
      <c r="B143" s="255"/>
      <c r="C143" s="73"/>
      <c r="D143" s="255"/>
      <c r="E143" s="277"/>
      <c r="F143" s="310"/>
      <c r="G143" s="35"/>
      <c r="H143" s="35"/>
      <c r="I143" s="35"/>
      <c r="J143" s="35"/>
      <c r="K143" s="35"/>
      <c r="L143" s="35"/>
      <c r="M143" s="36"/>
      <c r="N143" s="35"/>
      <c r="O143" s="35"/>
      <c r="P143" s="56"/>
      <c r="Q143" s="49"/>
      <c r="R143" s="35"/>
      <c r="S143" s="35"/>
      <c r="T143" s="35"/>
      <c r="U143" s="35"/>
    </row>
    <row r="144" spans="1:21" s="32" customFormat="1" ht="15">
      <c r="A144" s="250"/>
      <c r="B144" s="255"/>
      <c r="C144" s="73"/>
      <c r="D144" s="255"/>
      <c r="E144" s="277"/>
      <c r="F144" s="310"/>
      <c r="G144" s="35"/>
      <c r="H144" s="35"/>
      <c r="I144" s="35"/>
      <c r="J144" s="35"/>
      <c r="K144" s="35"/>
      <c r="L144" s="35"/>
      <c r="M144" s="36"/>
      <c r="N144" s="35"/>
      <c r="O144" s="35"/>
      <c r="P144" s="56"/>
      <c r="Q144" s="49"/>
      <c r="R144" s="35"/>
      <c r="S144" s="35"/>
      <c r="T144" s="35"/>
      <c r="U144" s="35"/>
    </row>
    <row r="145" spans="1:21" s="32" customFormat="1" ht="15">
      <c r="A145" s="250"/>
      <c r="B145" s="255"/>
      <c r="C145" s="73"/>
      <c r="D145" s="255"/>
      <c r="E145" s="277"/>
      <c r="F145" s="310"/>
      <c r="G145" s="35"/>
      <c r="H145" s="35"/>
      <c r="I145" s="35"/>
      <c r="J145" s="35"/>
      <c r="K145" s="35"/>
      <c r="L145" s="35"/>
      <c r="M145" s="36"/>
      <c r="N145" s="35"/>
      <c r="O145" s="35"/>
      <c r="P145" s="56"/>
      <c r="Q145" s="49"/>
      <c r="R145" s="35"/>
      <c r="S145" s="35"/>
      <c r="T145" s="35"/>
      <c r="U145" s="35"/>
    </row>
    <row r="146" spans="1:21" s="32" customFormat="1" ht="15">
      <c r="A146" s="250"/>
      <c r="B146" s="255"/>
      <c r="C146" s="73"/>
      <c r="D146" s="255"/>
      <c r="E146" s="277"/>
      <c r="F146" s="310"/>
      <c r="G146" s="35"/>
      <c r="H146" s="35"/>
      <c r="I146" s="35"/>
      <c r="J146" s="35"/>
      <c r="K146" s="35"/>
      <c r="L146" s="35"/>
      <c r="M146" s="36"/>
      <c r="N146" s="35"/>
      <c r="O146" s="35"/>
      <c r="P146" s="56"/>
      <c r="Q146" s="49"/>
      <c r="R146" s="35"/>
      <c r="S146" s="35"/>
      <c r="T146" s="35"/>
      <c r="U146" s="35"/>
    </row>
    <row r="147" spans="1:21" s="32" customFormat="1" ht="15">
      <c r="A147" s="250"/>
      <c r="B147" s="255"/>
      <c r="C147" s="73"/>
      <c r="D147" s="255"/>
      <c r="E147" s="277"/>
      <c r="F147" s="310"/>
      <c r="G147" s="35"/>
      <c r="H147" s="35"/>
      <c r="I147" s="35"/>
      <c r="J147" s="35"/>
      <c r="K147" s="35"/>
      <c r="L147" s="35"/>
      <c r="M147" s="36"/>
      <c r="N147" s="35"/>
      <c r="O147" s="35"/>
      <c r="P147" s="56"/>
      <c r="Q147" s="49"/>
      <c r="R147" s="35"/>
      <c r="S147" s="35"/>
      <c r="T147" s="35"/>
      <c r="U147" s="35"/>
    </row>
    <row r="148" spans="1:21" s="32" customFormat="1" ht="15">
      <c r="A148" s="250"/>
      <c r="B148" s="255"/>
      <c r="C148" s="73"/>
      <c r="D148" s="255"/>
      <c r="E148" s="277"/>
      <c r="F148" s="310"/>
      <c r="G148" s="35"/>
      <c r="H148" s="35"/>
      <c r="I148" s="35"/>
      <c r="J148" s="35"/>
      <c r="K148" s="35"/>
      <c r="L148" s="35"/>
      <c r="M148" s="36"/>
      <c r="N148" s="35"/>
      <c r="O148" s="35"/>
      <c r="P148" s="56"/>
      <c r="Q148" s="49"/>
      <c r="R148" s="35"/>
      <c r="S148" s="35"/>
      <c r="T148" s="35"/>
      <c r="U148" s="35"/>
    </row>
    <row r="149" spans="1:21" s="32" customFormat="1" ht="15">
      <c r="A149" s="250"/>
      <c r="B149" s="255"/>
      <c r="C149" s="73"/>
      <c r="D149" s="255"/>
      <c r="E149" s="277"/>
      <c r="F149" s="310"/>
      <c r="G149" s="35"/>
      <c r="H149" s="35"/>
      <c r="I149" s="35"/>
      <c r="J149" s="35"/>
      <c r="K149" s="35"/>
      <c r="L149" s="35"/>
      <c r="M149" s="36"/>
      <c r="N149" s="35"/>
      <c r="O149" s="35"/>
      <c r="P149" s="56"/>
      <c r="Q149" s="49"/>
      <c r="R149" s="35"/>
      <c r="S149" s="35"/>
      <c r="T149" s="35"/>
      <c r="U149" s="35"/>
    </row>
    <row r="150" spans="1:21" s="32" customFormat="1" ht="15">
      <c r="A150" s="250"/>
      <c r="B150" s="255"/>
      <c r="C150" s="73"/>
      <c r="D150" s="255"/>
      <c r="E150" s="277"/>
      <c r="F150" s="310"/>
      <c r="G150" s="35"/>
      <c r="H150" s="35"/>
      <c r="I150" s="35"/>
      <c r="J150" s="35"/>
      <c r="K150" s="35"/>
      <c r="L150" s="35"/>
      <c r="M150" s="36"/>
      <c r="N150" s="35"/>
      <c r="O150" s="35"/>
      <c r="P150" s="56"/>
      <c r="Q150" s="49"/>
      <c r="R150" s="35"/>
      <c r="S150" s="35"/>
      <c r="T150" s="35"/>
      <c r="U150" s="35"/>
    </row>
    <row r="151" spans="1:21" s="32" customFormat="1" ht="15">
      <c r="A151" s="250"/>
      <c r="B151" s="255"/>
      <c r="C151" s="73"/>
      <c r="D151" s="255"/>
      <c r="E151" s="277"/>
      <c r="F151" s="310"/>
      <c r="G151" s="35"/>
      <c r="H151" s="35"/>
      <c r="I151" s="35"/>
      <c r="J151" s="35"/>
      <c r="K151" s="35"/>
      <c r="L151" s="35"/>
      <c r="M151" s="36"/>
      <c r="N151" s="35"/>
      <c r="O151" s="35"/>
      <c r="P151" s="56"/>
      <c r="Q151" s="49"/>
      <c r="R151" s="35"/>
      <c r="S151" s="35"/>
      <c r="T151" s="35"/>
      <c r="U151" s="35"/>
    </row>
    <row r="152" spans="1:21" s="32" customFormat="1" ht="15">
      <c r="A152" s="250"/>
      <c r="B152" s="255"/>
      <c r="C152" s="73"/>
      <c r="D152" s="255"/>
      <c r="E152" s="277"/>
      <c r="F152" s="310"/>
      <c r="G152" s="35"/>
      <c r="H152" s="35"/>
      <c r="I152" s="35"/>
      <c r="J152" s="35"/>
      <c r="K152" s="35"/>
      <c r="L152" s="35"/>
      <c r="M152" s="36"/>
      <c r="N152" s="35"/>
      <c r="O152" s="35"/>
      <c r="P152" s="56"/>
      <c r="Q152" s="49"/>
      <c r="R152" s="35"/>
      <c r="S152" s="35"/>
      <c r="T152" s="35"/>
      <c r="U152" s="35"/>
    </row>
    <row r="153" spans="1:21" s="32" customFormat="1" ht="15">
      <c r="A153" s="250"/>
      <c r="B153" s="255"/>
      <c r="C153" s="73"/>
      <c r="D153" s="255"/>
      <c r="E153" s="277"/>
      <c r="F153" s="310"/>
      <c r="G153" s="35"/>
      <c r="H153" s="35"/>
      <c r="I153" s="35"/>
      <c r="J153" s="35"/>
      <c r="K153" s="35"/>
      <c r="L153" s="35"/>
      <c r="M153" s="36"/>
      <c r="N153" s="35"/>
      <c r="O153" s="35"/>
      <c r="P153" s="56"/>
      <c r="Q153" s="49"/>
      <c r="R153" s="35"/>
      <c r="S153" s="35"/>
      <c r="T153" s="35"/>
      <c r="U153" s="35"/>
    </row>
    <row r="154" spans="1:21" s="32" customFormat="1" ht="15">
      <c r="A154" s="250"/>
      <c r="B154" s="255"/>
      <c r="C154" s="73"/>
      <c r="D154" s="255"/>
      <c r="E154" s="277"/>
      <c r="F154" s="310"/>
      <c r="G154" s="35"/>
      <c r="H154" s="35"/>
      <c r="I154" s="35"/>
      <c r="J154" s="35"/>
      <c r="K154" s="35"/>
      <c r="L154" s="35"/>
      <c r="M154" s="36"/>
      <c r="N154" s="35"/>
      <c r="O154" s="35"/>
      <c r="P154" s="56"/>
      <c r="Q154" s="49"/>
      <c r="R154" s="35"/>
      <c r="S154" s="35"/>
      <c r="T154" s="35"/>
      <c r="U154" s="35"/>
    </row>
    <row r="155" spans="1:21" s="32" customFormat="1" ht="15">
      <c r="A155" s="250"/>
      <c r="B155" s="255"/>
      <c r="C155" s="73"/>
      <c r="D155" s="255"/>
      <c r="E155" s="277"/>
      <c r="F155" s="310"/>
      <c r="G155" s="35"/>
      <c r="H155" s="35"/>
      <c r="I155" s="35"/>
      <c r="J155" s="35"/>
      <c r="K155" s="35"/>
      <c r="L155" s="35"/>
      <c r="M155" s="36"/>
      <c r="N155" s="35"/>
      <c r="O155" s="35"/>
      <c r="P155" s="56"/>
      <c r="Q155" s="49"/>
      <c r="R155" s="35"/>
      <c r="S155" s="35"/>
      <c r="T155" s="35"/>
      <c r="U155" s="35"/>
    </row>
    <row r="156" spans="1:21" s="32" customFormat="1" ht="15">
      <c r="A156" s="250"/>
      <c r="B156" s="255"/>
      <c r="C156" s="73"/>
      <c r="D156" s="255"/>
      <c r="E156" s="277"/>
      <c r="F156" s="310"/>
      <c r="G156" s="35"/>
      <c r="H156" s="35"/>
      <c r="I156" s="35"/>
      <c r="J156" s="35"/>
      <c r="K156" s="35"/>
      <c r="L156" s="35"/>
      <c r="M156" s="36"/>
      <c r="N156" s="35"/>
      <c r="O156" s="35"/>
      <c r="P156" s="56"/>
      <c r="Q156" s="49"/>
      <c r="R156" s="35"/>
      <c r="S156" s="35"/>
      <c r="T156" s="35"/>
      <c r="U156" s="35"/>
    </row>
    <row r="157" spans="1:21" s="32" customFormat="1" ht="15">
      <c r="A157" s="250"/>
      <c r="B157" s="255"/>
      <c r="C157" s="73"/>
      <c r="D157" s="255"/>
      <c r="E157" s="277"/>
      <c r="F157" s="310"/>
      <c r="G157" s="35"/>
      <c r="H157" s="35"/>
      <c r="I157" s="35"/>
      <c r="J157" s="35"/>
      <c r="K157" s="35"/>
      <c r="L157" s="35"/>
      <c r="M157" s="36"/>
      <c r="N157" s="35"/>
      <c r="O157" s="35"/>
      <c r="P157" s="56"/>
      <c r="Q157" s="49"/>
      <c r="R157" s="35"/>
      <c r="S157" s="35"/>
      <c r="T157" s="35"/>
      <c r="U157" s="35"/>
    </row>
    <row r="158" spans="1:21" s="32" customFormat="1" ht="15">
      <c r="A158" s="250"/>
      <c r="B158" s="255"/>
      <c r="C158" s="73"/>
      <c r="D158" s="255"/>
      <c r="E158" s="277"/>
      <c r="F158" s="310"/>
      <c r="G158" s="35"/>
      <c r="H158" s="35"/>
      <c r="I158" s="35"/>
      <c r="J158" s="35"/>
      <c r="K158" s="35"/>
      <c r="L158" s="35"/>
      <c r="M158" s="36"/>
      <c r="N158" s="35"/>
      <c r="O158" s="35"/>
      <c r="P158" s="56"/>
      <c r="Q158" s="49"/>
      <c r="R158" s="35"/>
      <c r="S158" s="35"/>
      <c r="T158" s="35"/>
      <c r="U158" s="35"/>
    </row>
    <row r="159" spans="1:21" s="32" customFormat="1" ht="15">
      <c r="A159" s="250"/>
      <c r="B159" s="255"/>
      <c r="C159" s="73"/>
      <c r="D159" s="255"/>
      <c r="E159" s="277"/>
      <c r="F159" s="310"/>
      <c r="G159" s="35"/>
      <c r="H159" s="35"/>
      <c r="I159" s="35"/>
      <c r="J159" s="35"/>
      <c r="K159" s="35"/>
      <c r="L159" s="35"/>
      <c r="M159" s="36"/>
      <c r="N159" s="35"/>
      <c r="O159" s="35"/>
      <c r="P159" s="56"/>
      <c r="Q159" s="49"/>
      <c r="R159" s="35"/>
      <c r="S159" s="35"/>
      <c r="T159" s="35"/>
      <c r="U159" s="35"/>
    </row>
    <row r="160" spans="1:21" s="32" customFormat="1" ht="15">
      <c r="A160" s="250"/>
      <c r="B160" s="255"/>
      <c r="C160" s="73"/>
      <c r="D160" s="255"/>
      <c r="E160" s="277"/>
      <c r="F160" s="310"/>
      <c r="G160" s="35"/>
      <c r="H160" s="35"/>
      <c r="I160" s="35"/>
      <c r="J160" s="35"/>
      <c r="K160" s="35"/>
      <c r="L160" s="35"/>
      <c r="M160" s="36"/>
      <c r="N160" s="35"/>
      <c r="O160" s="35"/>
      <c r="P160" s="56"/>
      <c r="Q160" s="49"/>
      <c r="R160" s="35"/>
      <c r="S160" s="35"/>
      <c r="T160" s="35"/>
      <c r="U160" s="35"/>
    </row>
    <row r="161" spans="1:21" s="32" customFormat="1" ht="15">
      <c r="A161" s="250"/>
      <c r="B161" s="255"/>
      <c r="C161" s="73"/>
      <c r="D161" s="255"/>
      <c r="E161" s="277"/>
      <c r="F161" s="310"/>
      <c r="G161" s="35"/>
      <c r="H161" s="35"/>
      <c r="I161" s="35"/>
      <c r="J161" s="35"/>
      <c r="K161" s="35"/>
      <c r="L161" s="35"/>
      <c r="M161" s="36"/>
      <c r="N161" s="35"/>
      <c r="O161" s="35"/>
      <c r="P161" s="56"/>
      <c r="Q161" s="49"/>
      <c r="R161" s="35"/>
      <c r="S161" s="35"/>
      <c r="T161" s="35"/>
      <c r="U161" s="35"/>
    </row>
    <row r="162" spans="1:21" s="32" customFormat="1" ht="15">
      <c r="A162" s="250"/>
      <c r="B162" s="255"/>
      <c r="C162" s="73"/>
      <c r="D162" s="255"/>
      <c r="E162" s="277"/>
      <c r="F162" s="310"/>
      <c r="G162" s="35"/>
      <c r="H162" s="35"/>
      <c r="I162" s="35"/>
      <c r="J162" s="35"/>
      <c r="K162" s="35"/>
      <c r="L162" s="35"/>
      <c r="M162" s="36"/>
      <c r="N162" s="35"/>
      <c r="O162" s="35"/>
      <c r="P162" s="56"/>
      <c r="Q162" s="49"/>
      <c r="R162" s="35"/>
      <c r="S162" s="35"/>
      <c r="T162" s="35"/>
      <c r="U162" s="35"/>
    </row>
    <row r="163" spans="1:21" s="32" customFormat="1" ht="15">
      <c r="A163" s="250"/>
      <c r="B163" s="255"/>
      <c r="C163" s="73"/>
      <c r="D163" s="255"/>
      <c r="E163" s="277"/>
      <c r="F163" s="310"/>
      <c r="G163" s="35"/>
      <c r="H163" s="35"/>
      <c r="I163" s="35"/>
      <c r="J163" s="35"/>
      <c r="K163" s="35"/>
      <c r="L163" s="35"/>
      <c r="M163" s="36"/>
      <c r="N163" s="35"/>
      <c r="O163" s="35"/>
      <c r="P163" s="56"/>
      <c r="Q163" s="49"/>
      <c r="R163" s="35"/>
      <c r="S163" s="35"/>
      <c r="T163" s="35"/>
      <c r="U163" s="35"/>
    </row>
    <row r="164" spans="1:21" s="32" customFormat="1" ht="15">
      <c r="A164" s="250"/>
      <c r="B164" s="255"/>
      <c r="C164" s="73"/>
      <c r="D164" s="255"/>
      <c r="E164" s="277"/>
      <c r="F164" s="310"/>
      <c r="G164" s="35"/>
      <c r="H164" s="35"/>
      <c r="I164" s="35"/>
      <c r="J164" s="35"/>
      <c r="K164" s="35"/>
      <c r="L164" s="35"/>
      <c r="M164" s="36"/>
      <c r="N164" s="35"/>
      <c r="O164" s="35"/>
      <c r="P164" s="56"/>
      <c r="Q164" s="49"/>
      <c r="R164" s="35"/>
      <c r="S164" s="35"/>
      <c r="T164" s="35"/>
      <c r="U164" s="35"/>
    </row>
    <row r="165" spans="1:21" s="32" customFormat="1" ht="15">
      <c r="A165" s="250"/>
      <c r="B165" s="255"/>
      <c r="C165" s="73"/>
      <c r="D165" s="255"/>
      <c r="E165" s="277"/>
      <c r="F165" s="310"/>
      <c r="G165" s="35"/>
      <c r="H165" s="35"/>
      <c r="I165" s="35"/>
      <c r="J165" s="35"/>
      <c r="K165" s="35"/>
      <c r="L165" s="35"/>
      <c r="M165" s="36"/>
      <c r="N165" s="35"/>
      <c r="O165" s="35"/>
      <c r="P165" s="56"/>
      <c r="Q165" s="49"/>
      <c r="R165" s="35"/>
      <c r="S165" s="35"/>
      <c r="T165" s="35"/>
      <c r="U165" s="35"/>
    </row>
    <row r="166" spans="1:21" s="32" customFormat="1" ht="15">
      <c r="A166" s="250"/>
      <c r="B166" s="255"/>
      <c r="C166" s="73"/>
      <c r="D166" s="255"/>
      <c r="E166" s="277"/>
      <c r="F166" s="310"/>
      <c r="G166" s="35"/>
      <c r="H166" s="35"/>
      <c r="I166" s="35"/>
      <c r="J166" s="35"/>
      <c r="K166" s="35"/>
      <c r="L166" s="35"/>
      <c r="M166" s="36"/>
      <c r="N166" s="35"/>
      <c r="O166" s="35"/>
      <c r="P166" s="56"/>
      <c r="Q166" s="49"/>
      <c r="R166" s="35"/>
      <c r="S166" s="35"/>
      <c r="T166" s="35"/>
      <c r="U166" s="35"/>
    </row>
    <row r="167" spans="1:21" s="32" customFormat="1" ht="15">
      <c r="A167" s="250"/>
      <c r="B167" s="255"/>
      <c r="C167" s="73"/>
      <c r="D167" s="255"/>
      <c r="E167" s="277"/>
      <c r="F167" s="310"/>
      <c r="G167" s="35"/>
      <c r="H167" s="35"/>
      <c r="I167" s="35"/>
      <c r="J167" s="35"/>
      <c r="K167" s="35"/>
      <c r="L167" s="35"/>
      <c r="M167" s="36"/>
      <c r="N167" s="35"/>
      <c r="O167" s="35"/>
      <c r="P167" s="56"/>
      <c r="Q167" s="49"/>
      <c r="R167" s="35"/>
      <c r="S167" s="35"/>
      <c r="T167" s="35"/>
      <c r="U167" s="35"/>
    </row>
    <row r="168" spans="1:21" s="32" customFormat="1" ht="15">
      <c r="A168" s="250"/>
      <c r="B168" s="255"/>
      <c r="C168" s="73"/>
      <c r="D168" s="255"/>
      <c r="E168" s="277"/>
      <c r="F168" s="310"/>
      <c r="G168" s="35"/>
      <c r="H168" s="35"/>
      <c r="I168" s="35"/>
      <c r="J168" s="35"/>
      <c r="K168" s="35"/>
      <c r="L168" s="35"/>
      <c r="M168" s="36"/>
      <c r="N168" s="35"/>
      <c r="O168" s="35"/>
      <c r="P168" s="56"/>
      <c r="Q168" s="49"/>
      <c r="R168" s="35"/>
      <c r="S168" s="35"/>
      <c r="T168" s="35"/>
      <c r="U168" s="35"/>
    </row>
    <row r="169" spans="1:21" s="32" customFormat="1" ht="15">
      <c r="A169" s="250"/>
      <c r="B169" s="255"/>
      <c r="C169" s="73"/>
      <c r="D169" s="255"/>
      <c r="E169" s="277"/>
      <c r="F169" s="310"/>
      <c r="G169" s="35"/>
      <c r="H169" s="35"/>
      <c r="I169" s="35"/>
      <c r="J169" s="35"/>
      <c r="K169" s="35"/>
      <c r="L169" s="35"/>
      <c r="M169" s="36"/>
      <c r="N169" s="35"/>
      <c r="O169" s="35"/>
      <c r="P169" s="56"/>
      <c r="Q169" s="49"/>
      <c r="R169" s="35"/>
      <c r="S169" s="35"/>
      <c r="T169" s="35"/>
      <c r="U169" s="35"/>
    </row>
    <row r="170" spans="1:21" s="32" customFormat="1" ht="15">
      <c r="A170" s="250"/>
      <c r="B170" s="255"/>
      <c r="C170" s="73"/>
      <c r="D170" s="255"/>
      <c r="E170" s="277"/>
      <c r="F170" s="310"/>
      <c r="G170" s="35"/>
      <c r="H170" s="35"/>
      <c r="I170" s="35"/>
      <c r="J170" s="35"/>
      <c r="K170" s="35"/>
      <c r="L170" s="35"/>
      <c r="M170" s="36"/>
      <c r="N170" s="35"/>
      <c r="O170" s="35"/>
      <c r="P170" s="56"/>
      <c r="Q170" s="49"/>
      <c r="R170" s="35"/>
      <c r="S170" s="35"/>
      <c r="T170" s="35"/>
      <c r="U170" s="35"/>
    </row>
    <row r="171" spans="1:21" s="32" customFormat="1" ht="15">
      <c r="A171" s="250"/>
      <c r="B171" s="255"/>
      <c r="C171" s="73"/>
      <c r="D171" s="255"/>
      <c r="E171" s="277"/>
      <c r="F171" s="310"/>
      <c r="G171" s="35"/>
      <c r="H171" s="35"/>
      <c r="I171" s="35"/>
      <c r="J171" s="35"/>
      <c r="K171" s="35"/>
      <c r="L171" s="35"/>
      <c r="M171" s="36"/>
      <c r="N171" s="35"/>
      <c r="O171" s="35"/>
      <c r="P171" s="56"/>
      <c r="Q171" s="49"/>
      <c r="R171" s="35"/>
      <c r="S171" s="35"/>
      <c r="T171" s="35"/>
      <c r="U171" s="35"/>
    </row>
    <row r="172" spans="1:21" s="32" customFormat="1" ht="15">
      <c r="A172" s="250"/>
      <c r="B172" s="255"/>
      <c r="C172" s="73"/>
      <c r="D172" s="255"/>
      <c r="E172" s="277"/>
      <c r="F172" s="310"/>
      <c r="G172" s="35"/>
      <c r="H172" s="35"/>
      <c r="I172" s="35"/>
      <c r="J172" s="35"/>
      <c r="K172" s="35"/>
      <c r="L172" s="35"/>
      <c r="M172" s="36"/>
      <c r="N172" s="35"/>
      <c r="O172" s="35"/>
      <c r="P172" s="56"/>
      <c r="Q172" s="49"/>
      <c r="R172" s="35"/>
      <c r="S172" s="35"/>
      <c r="T172" s="35"/>
      <c r="U172" s="35"/>
    </row>
    <row r="173" spans="1:21" s="32" customFormat="1" ht="15">
      <c r="A173" s="250"/>
      <c r="B173" s="255"/>
      <c r="C173" s="73"/>
      <c r="D173" s="255"/>
      <c r="E173" s="277"/>
      <c r="F173" s="310"/>
      <c r="G173" s="35"/>
      <c r="H173" s="35"/>
      <c r="I173" s="35"/>
      <c r="J173" s="35"/>
      <c r="K173" s="35"/>
      <c r="L173" s="35"/>
      <c r="M173" s="36"/>
      <c r="N173" s="35"/>
      <c r="O173" s="35"/>
      <c r="P173" s="56"/>
      <c r="Q173" s="49"/>
      <c r="R173" s="35"/>
      <c r="S173" s="35"/>
      <c r="T173" s="35"/>
      <c r="U173" s="35"/>
    </row>
    <row r="174" spans="1:21" s="32" customFormat="1" ht="15">
      <c r="A174" s="250"/>
      <c r="B174" s="255"/>
      <c r="C174" s="73"/>
      <c r="D174" s="255"/>
      <c r="E174" s="277"/>
      <c r="F174" s="310"/>
      <c r="G174" s="35"/>
      <c r="H174" s="35"/>
      <c r="I174" s="35"/>
      <c r="J174" s="35"/>
      <c r="K174" s="35"/>
      <c r="L174" s="35"/>
      <c r="M174" s="36"/>
      <c r="N174" s="35"/>
      <c r="O174" s="35"/>
      <c r="P174" s="56"/>
      <c r="Q174" s="49"/>
      <c r="R174" s="35"/>
      <c r="S174" s="35"/>
      <c r="T174" s="35"/>
      <c r="U174" s="35"/>
    </row>
    <row r="175" spans="1:21" s="32" customFormat="1" ht="15">
      <c r="A175" s="250"/>
      <c r="B175" s="255"/>
      <c r="C175" s="73"/>
      <c r="D175" s="255"/>
      <c r="E175" s="277"/>
      <c r="F175" s="310"/>
      <c r="G175" s="35"/>
      <c r="H175" s="35"/>
      <c r="I175" s="35"/>
      <c r="J175" s="35"/>
      <c r="K175" s="35"/>
      <c r="L175" s="35"/>
      <c r="M175" s="36"/>
      <c r="N175" s="35"/>
      <c r="O175" s="35"/>
      <c r="P175" s="56"/>
      <c r="Q175" s="49"/>
      <c r="R175" s="35"/>
      <c r="S175" s="35"/>
      <c r="T175" s="35"/>
      <c r="U175" s="35"/>
    </row>
    <row r="176" spans="1:21" s="32" customFormat="1" ht="15">
      <c r="A176" s="250"/>
      <c r="B176" s="255"/>
      <c r="C176" s="73"/>
      <c r="D176" s="255"/>
      <c r="E176" s="277"/>
      <c r="F176" s="310"/>
      <c r="G176" s="35"/>
      <c r="H176" s="35"/>
      <c r="I176" s="35"/>
      <c r="J176" s="35"/>
      <c r="K176" s="35"/>
      <c r="L176" s="35"/>
      <c r="M176" s="36"/>
      <c r="N176" s="35"/>
      <c r="O176" s="35"/>
      <c r="P176" s="56"/>
      <c r="Q176" s="49"/>
      <c r="R176" s="35"/>
      <c r="S176" s="35"/>
      <c r="T176" s="35"/>
      <c r="U176" s="35"/>
    </row>
    <row r="177" spans="1:21" s="32" customFormat="1" ht="15">
      <c r="A177" s="250"/>
      <c r="B177" s="255"/>
      <c r="C177" s="73"/>
      <c r="D177" s="255"/>
      <c r="E177" s="277"/>
      <c r="F177" s="310"/>
      <c r="G177" s="35"/>
      <c r="H177" s="35"/>
      <c r="I177" s="35"/>
      <c r="J177" s="35"/>
      <c r="K177" s="35"/>
      <c r="L177" s="35"/>
      <c r="M177" s="36"/>
      <c r="N177" s="35"/>
      <c r="O177" s="35"/>
      <c r="P177" s="56"/>
      <c r="Q177" s="49"/>
      <c r="R177" s="35"/>
      <c r="S177" s="35"/>
      <c r="T177" s="35"/>
      <c r="U177" s="35"/>
    </row>
    <row r="178" spans="1:21" s="32" customFormat="1" ht="15">
      <c r="A178" s="250"/>
      <c r="B178" s="255"/>
      <c r="C178" s="73"/>
      <c r="D178" s="255"/>
      <c r="E178" s="277"/>
      <c r="F178" s="310"/>
      <c r="G178" s="35"/>
      <c r="H178" s="35"/>
      <c r="I178" s="35"/>
      <c r="J178" s="35"/>
      <c r="K178" s="35"/>
      <c r="L178" s="35"/>
      <c r="M178" s="36"/>
      <c r="N178" s="35"/>
      <c r="O178" s="35"/>
      <c r="P178" s="56"/>
      <c r="Q178" s="49"/>
      <c r="R178" s="35"/>
      <c r="S178" s="35"/>
      <c r="T178" s="35"/>
      <c r="U178" s="35"/>
    </row>
    <row r="179" spans="1:21" s="32" customFormat="1" ht="15">
      <c r="A179" s="250"/>
      <c r="B179" s="255"/>
      <c r="C179" s="73"/>
      <c r="D179" s="255"/>
      <c r="E179" s="277"/>
      <c r="F179" s="310"/>
      <c r="G179" s="35"/>
      <c r="H179" s="35"/>
      <c r="I179" s="35"/>
      <c r="J179" s="35"/>
      <c r="K179" s="35"/>
      <c r="L179" s="35"/>
      <c r="M179" s="36"/>
      <c r="N179" s="35"/>
      <c r="O179" s="35"/>
      <c r="P179" s="56"/>
      <c r="Q179" s="49"/>
      <c r="R179" s="35"/>
      <c r="S179" s="35"/>
      <c r="T179" s="35"/>
      <c r="U179" s="35"/>
    </row>
    <row r="180" spans="1:21" s="32" customFormat="1" ht="15">
      <c r="A180" s="250"/>
      <c r="B180" s="255"/>
      <c r="C180" s="73"/>
      <c r="D180" s="255"/>
      <c r="E180" s="277"/>
      <c r="F180" s="310"/>
      <c r="G180" s="35"/>
      <c r="H180" s="35"/>
      <c r="I180" s="35"/>
      <c r="J180" s="35"/>
      <c r="K180" s="35"/>
      <c r="L180" s="35"/>
      <c r="M180" s="36"/>
      <c r="N180" s="35"/>
      <c r="O180" s="35"/>
      <c r="P180" s="56"/>
      <c r="Q180" s="49"/>
      <c r="R180" s="35"/>
      <c r="S180" s="35"/>
      <c r="T180" s="35"/>
      <c r="U180" s="35"/>
    </row>
    <row r="181" spans="1:21" s="32" customFormat="1" ht="15">
      <c r="A181" s="250"/>
      <c r="B181" s="255"/>
      <c r="C181" s="73"/>
      <c r="D181" s="255"/>
      <c r="E181" s="277"/>
      <c r="F181" s="310"/>
      <c r="G181" s="35"/>
      <c r="H181" s="35"/>
      <c r="I181" s="35"/>
      <c r="J181" s="35"/>
      <c r="K181" s="35"/>
      <c r="L181" s="35"/>
      <c r="M181" s="36"/>
      <c r="N181" s="35"/>
      <c r="O181" s="35"/>
      <c r="P181" s="56"/>
      <c r="Q181" s="49"/>
      <c r="R181" s="35"/>
      <c r="S181" s="35"/>
      <c r="T181" s="35"/>
      <c r="U181" s="35"/>
    </row>
    <row r="182" spans="1:21" s="32" customFormat="1" ht="15">
      <c r="A182" s="250"/>
      <c r="B182" s="255"/>
      <c r="C182" s="73"/>
      <c r="D182" s="255"/>
      <c r="E182" s="277"/>
      <c r="F182" s="310"/>
      <c r="G182" s="35"/>
      <c r="H182" s="35"/>
      <c r="I182" s="35"/>
      <c r="J182" s="35"/>
      <c r="K182" s="35"/>
      <c r="L182" s="35"/>
      <c r="M182" s="36"/>
      <c r="N182" s="35"/>
      <c r="O182" s="35"/>
      <c r="P182" s="56"/>
      <c r="Q182" s="49"/>
      <c r="R182" s="35"/>
      <c r="S182" s="35"/>
      <c r="T182" s="35"/>
      <c r="U182" s="35"/>
    </row>
    <row r="183" spans="1:21" s="32" customFormat="1" ht="15">
      <c r="A183" s="250"/>
      <c r="B183" s="255"/>
      <c r="C183" s="73"/>
      <c r="D183" s="255"/>
      <c r="E183" s="277"/>
      <c r="F183" s="310"/>
      <c r="G183" s="35"/>
      <c r="H183" s="35"/>
      <c r="I183" s="35"/>
      <c r="J183" s="35"/>
      <c r="K183" s="35"/>
      <c r="L183" s="35"/>
      <c r="M183" s="36"/>
      <c r="N183" s="35"/>
      <c r="O183" s="35"/>
      <c r="P183" s="56"/>
      <c r="Q183" s="49"/>
      <c r="R183" s="35"/>
      <c r="S183" s="35"/>
      <c r="T183" s="35"/>
      <c r="U183" s="35"/>
    </row>
    <row r="184" spans="1:21" s="32" customFormat="1" ht="15">
      <c r="A184" s="250"/>
      <c r="B184" s="255"/>
      <c r="C184" s="73"/>
      <c r="D184" s="255"/>
      <c r="E184" s="277"/>
      <c r="F184" s="310"/>
      <c r="G184" s="35"/>
      <c r="H184" s="35"/>
      <c r="I184" s="35"/>
      <c r="J184" s="35"/>
      <c r="K184" s="35"/>
      <c r="L184" s="35"/>
      <c r="M184" s="36"/>
      <c r="N184" s="35"/>
      <c r="O184" s="35"/>
      <c r="P184" s="56"/>
      <c r="Q184" s="49"/>
      <c r="R184" s="35"/>
      <c r="S184" s="35"/>
      <c r="T184" s="35"/>
      <c r="U184" s="35"/>
    </row>
    <row r="185" spans="1:21" s="32" customFormat="1" ht="15">
      <c r="A185" s="250"/>
      <c r="B185" s="255"/>
      <c r="C185" s="73"/>
      <c r="D185" s="255"/>
      <c r="E185" s="277"/>
      <c r="F185" s="310"/>
      <c r="G185" s="35"/>
      <c r="H185" s="35"/>
      <c r="I185" s="35"/>
      <c r="J185" s="35"/>
      <c r="K185" s="35"/>
      <c r="L185" s="35"/>
      <c r="M185" s="36"/>
      <c r="N185" s="35"/>
      <c r="O185" s="35"/>
      <c r="P185" s="56"/>
      <c r="Q185" s="49"/>
      <c r="R185" s="35"/>
      <c r="S185" s="35"/>
      <c r="T185" s="35"/>
      <c r="U185" s="35"/>
    </row>
    <row r="186" spans="1:21" s="32" customFormat="1" ht="15">
      <c r="A186" s="250"/>
      <c r="B186" s="255"/>
      <c r="C186" s="73"/>
      <c r="D186" s="255"/>
      <c r="E186" s="277"/>
      <c r="F186" s="310"/>
      <c r="G186" s="35"/>
      <c r="H186" s="35"/>
      <c r="I186" s="35"/>
      <c r="J186" s="35"/>
      <c r="K186" s="35"/>
      <c r="L186" s="35"/>
      <c r="M186" s="36"/>
      <c r="N186" s="35"/>
      <c r="O186" s="35"/>
      <c r="P186" s="56"/>
      <c r="Q186" s="49"/>
      <c r="R186" s="35"/>
      <c r="S186" s="35"/>
      <c r="T186" s="35"/>
      <c r="U186" s="35"/>
    </row>
    <row r="187" spans="1:21" s="32" customFormat="1" ht="15">
      <c r="A187" s="250"/>
      <c r="B187" s="255"/>
      <c r="C187" s="73"/>
      <c r="D187" s="255"/>
      <c r="E187" s="277"/>
      <c r="F187" s="310"/>
      <c r="G187" s="35"/>
      <c r="H187" s="35"/>
      <c r="I187" s="35"/>
      <c r="J187" s="35"/>
      <c r="K187" s="35"/>
      <c r="L187" s="35"/>
      <c r="M187" s="36"/>
      <c r="N187" s="35"/>
      <c r="O187" s="35"/>
      <c r="P187" s="56"/>
      <c r="Q187" s="49"/>
      <c r="R187" s="35"/>
      <c r="S187" s="35"/>
      <c r="T187" s="35"/>
      <c r="U187" s="35"/>
    </row>
    <row r="188" spans="1:21" s="32" customFormat="1" ht="15">
      <c r="A188" s="250"/>
      <c r="B188" s="255"/>
      <c r="C188" s="73"/>
      <c r="D188" s="255"/>
      <c r="E188" s="277"/>
      <c r="F188" s="310"/>
      <c r="G188" s="35"/>
      <c r="H188" s="35"/>
      <c r="I188" s="35"/>
      <c r="J188" s="35"/>
      <c r="K188" s="35"/>
      <c r="L188" s="35"/>
      <c r="M188" s="36"/>
      <c r="N188" s="35"/>
      <c r="O188" s="35"/>
      <c r="P188" s="56"/>
      <c r="Q188" s="49"/>
      <c r="R188" s="35"/>
      <c r="S188" s="35"/>
      <c r="T188" s="35"/>
      <c r="U188" s="35"/>
    </row>
    <row r="189" spans="1:21" s="32" customFormat="1" ht="15">
      <c r="A189" s="250"/>
      <c r="B189" s="255"/>
      <c r="C189" s="73"/>
      <c r="D189" s="255"/>
      <c r="E189" s="277"/>
      <c r="F189" s="315"/>
      <c r="G189" s="35"/>
      <c r="H189" s="35"/>
      <c r="I189" s="35"/>
      <c r="J189" s="35"/>
      <c r="K189" s="35"/>
      <c r="L189" s="35"/>
      <c r="M189" s="36"/>
      <c r="N189" s="35"/>
      <c r="O189" s="35"/>
      <c r="P189" s="56"/>
      <c r="Q189" s="49"/>
      <c r="R189" s="35"/>
      <c r="S189" s="35"/>
      <c r="T189" s="35"/>
      <c r="U189" s="35"/>
    </row>
    <row r="190" spans="1:21" s="32" customFormat="1" ht="15">
      <c r="A190" s="250"/>
      <c r="B190" s="255"/>
      <c r="C190" s="73"/>
      <c r="D190" s="255"/>
      <c r="E190" s="277"/>
      <c r="F190" s="310"/>
      <c r="G190" s="35"/>
      <c r="H190" s="35"/>
      <c r="I190" s="35"/>
      <c r="J190" s="35"/>
      <c r="K190" s="35"/>
      <c r="L190" s="35"/>
      <c r="M190" s="36"/>
      <c r="N190" s="35"/>
      <c r="O190" s="35"/>
      <c r="P190" s="56"/>
      <c r="Q190" s="49"/>
      <c r="R190" s="35"/>
      <c r="S190" s="35"/>
      <c r="T190" s="35"/>
      <c r="U190" s="35"/>
    </row>
    <row r="191" spans="1:21" s="32" customFormat="1" ht="15">
      <c r="A191" s="250"/>
      <c r="B191" s="255"/>
      <c r="C191" s="73"/>
      <c r="D191" s="255"/>
      <c r="E191" s="277"/>
      <c r="F191" s="310"/>
      <c r="G191" s="35"/>
      <c r="H191" s="35"/>
      <c r="I191" s="35"/>
      <c r="J191" s="35"/>
      <c r="K191" s="35"/>
      <c r="L191" s="35"/>
      <c r="M191" s="36"/>
      <c r="N191" s="35"/>
      <c r="O191" s="35"/>
      <c r="P191" s="56"/>
      <c r="Q191" s="49"/>
      <c r="R191" s="35"/>
      <c r="S191" s="35"/>
      <c r="T191" s="35"/>
      <c r="U191" s="35"/>
    </row>
    <row r="192" spans="1:21" s="32" customFormat="1" ht="15">
      <c r="A192" s="250"/>
      <c r="B192" s="255"/>
      <c r="C192" s="73"/>
      <c r="D192" s="255"/>
      <c r="E192" s="277"/>
      <c r="F192" s="310"/>
      <c r="G192" s="35"/>
      <c r="H192" s="35"/>
      <c r="I192" s="35"/>
      <c r="J192" s="35"/>
      <c r="K192" s="35"/>
      <c r="L192" s="35"/>
      <c r="M192" s="36"/>
      <c r="N192" s="35"/>
      <c r="O192" s="35"/>
      <c r="P192" s="56"/>
      <c r="Q192" s="49"/>
      <c r="R192" s="35"/>
      <c r="S192" s="35"/>
      <c r="T192" s="35"/>
      <c r="U192" s="35"/>
    </row>
    <row r="193" spans="1:21" s="32" customFormat="1" ht="15">
      <c r="A193" s="250"/>
      <c r="B193" s="255"/>
      <c r="C193" s="73"/>
      <c r="D193" s="255"/>
      <c r="E193" s="277"/>
      <c r="F193" s="310"/>
      <c r="G193" s="35"/>
      <c r="H193" s="35"/>
      <c r="I193" s="35"/>
      <c r="J193" s="35"/>
      <c r="K193" s="35"/>
      <c r="L193" s="35"/>
      <c r="M193" s="36"/>
      <c r="N193" s="35"/>
      <c r="O193" s="35"/>
      <c r="P193" s="56"/>
      <c r="Q193" s="49"/>
      <c r="R193" s="35"/>
      <c r="S193" s="35"/>
      <c r="T193" s="35"/>
      <c r="U193" s="35"/>
    </row>
    <row r="194" spans="1:21" s="32" customFormat="1" ht="15">
      <c r="A194" s="250"/>
      <c r="B194" s="255"/>
      <c r="C194" s="73"/>
      <c r="D194" s="255"/>
      <c r="E194" s="277"/>
      <c r="F194" s="310"/>
      <c r="G194" s="35"/>
      <c r="H194" s="35"/>
      <c r="I194" s="35"/>
      <c r="J194" s="35"/>
      <c r="K194" s="35"/>
      <c r="L194" s="35"/>
      <c r="M194" s="36"/>
      <c r="N194" s="35"/>
      <c r="O194" s="35"/>
      <c r="P194" s="56"/>
      <c r="Q194" s="49"/>
      <c r="R194" s="35"/>
      <c r="S194" s="35"/>
      <c r="T194" s="35"/>
      <c r="U194" s="35"/>
    </row>
    <row r="195" spans="1:21" s="32" customFormat="1" ht="15">
      <c r="A195" s="250"/>
      <c r="B195" s="255"/>
      <c r="C195" s="73"/>
      <c r="D195" s="255"/>
      <c r="E195" s="277"/>
      <c r="F195" s="310"/>
      <c r="G195" s="35"/>
      <c r="H195" s="35"/>
      <c r="I195" s="35"/>
      <c r="J195" s="35"/>
      <c r="K195" s="35"/>
      <c r="L195" s="35"/>
      <c r="M195" s="36"/>
      <c r="N195" s="35"/>
      <c r="O195" s="35"/>
      <c r="P195" s="56"/>
      <c r="Q195" s="49"/>
      <c r="R195" s="35"/>
      <c r="S195" s="35"/>
      <c r="T195" s="35"/>
      <c r="U195" s="35"/>
    </row>
    <row r="196" spans="1:21" s="32" customFormat="1" ht="15">
      <c r="A196" s="250"/>
      <c r="B196" s="255"/>
      <c r="C196" s="73"/>
      <c r="D196" s="255"/>
      <c r="E196" s="277"/>
      <c r="F196" s="310"/>
      <c r="G196" s="35"/>
      <c r="H196" s="35"/>
      <c r="I196" s="35"/>
      <c r="J196" s="35"/>
      <c r="K196" s="35"/>
      <c r="L196" s="35"/>
      <c r="M196" s="36"/>
      <c r="N196" s="35"/>
      <c r="O196" s="35"/>
      <c r="P196" s="56"/>
      <c r="Q196" s="49"/>
      <c r="R196" s="35"/>
      <c r="S196" s="35"/>
      <c r="T196" s="35"/>
      <c r="U196" s="35"/>
    </row>
    <row r="197" spans="1:21" s="32" customFormat="1" ht="15">
      <c r="A197" s="250"/>
      <c r="B197" s="255"/>
      <c r="C197" s="73"/>
      <c r="D197" s="255"/>
      <c r="E197" s="277"/>
      <c r="F197" s="310"/>
      <c r="G197" s="35"/>
      <c r="H197" s="35"/>
      <c r="I197" s="35"/>
      <c r="J197" s="35"/>
      <c r="K197" s="35"/>
      <c r="L197" s="35"/>
      <c r="M197" s="36"/>
      <c r="N197" s="35"/>
      <c r="O197" s="35"/>
      <c r="P197" s="56"/>
      <c r="Q197" s="49"/>
      <c r="R197" s="35"/>
      <c r="S197" s="35"/>
      <c r="T197" s="35"/>
      <c r="U197" s="35"/>
    </row>
    <row r="198" spans="1:21" s="32" customFormat="1" ht="15">
      <c r="A198" s="250"/>
      <c r="B198" s="255"/>
      <c r="C198" s="73"/>
      <c r="D198" s="255"/>
      <c r="E198" s="277"/>
      <c r="F198" s="310"/>
      <c r="G198" s="35"/>
      <c r="H198" s="35"/>
      <c r="I198" s="35"/>
      <c r="J198" s="35"/>
      <c r="K198" s="35"/>
      <c r="L198" s="35"/>
      <c r="M198" s="36"/>
      <c r="N198" s="35"/>
      <c r="O198" s="35"/>
      <c r="P198" s="56"/>
      <c r="Q198" s="49"/>
      <c r="R198" s="35"/>
      <c r="S198" s="35"/>
      <c r="T198" s="35"/>
      <c r="U198" s="35"/>
    </row>
    <row r="199" spans="1:21" s="32" customFormat="1" ht="15">
      <c r="A199" s="250"/>
      <c r="B199" s="255"/>
      <c r="C199" s="73"/>
      <c r="D199" s="255"/>
      <c r="E199" s="277"/>
      <c r="F199" s="310"/>
      <c r="G199" s="35"/>
      <c r="H199" s="35"/>
      <c r="I199" s="35"/>
      <c r="J199" s="35"/>
      <c r="K199" s="35"/>
      <c r="L199" s="35"/>
      <c r="M199" s="36"/>
      <c r="N199" s="35"/>
      <c r="O199" s="35"/>
      <c r="P199" s="56"/>
      <c r="Q199" s="49"/>
      <c r="R199" s="35"/>
      <c r="S199" s="35"/>
      <c r="T199" s="35"/>
      <c r="U199" s="35"/>
    </row>
    <row r="200" spans="1:21" s="32" customFormat="1" ht="15">
      <c r="A200" s="250"/>
      <c r="B200" s="255"/>
      <c r="C200" s="73"/>
      <c r="D200" s="255"/>
      <c r="E200" s="277"/>
      <c r="F200" s="310"/>
      <c r="G200" s="35"/>
      <c r="H200" s="35"/>
      <c r="I200" s="35"/>
      <c r="J200" s="35"/>
      <c r="K200" s="35"/>
      <c r="L200" s="35"/>
      <c r="M200" s="36"/>
      <c r="N200" s="35"/>
      <c r="O200" s="35"/>
      <c r="P200" s="56"/>
      <c r="Q200" s="49"/>
      <c r="R200" s="35"/>
      <c r="S200" s="35"/>
      <c r="T200" s="35"/>
      <c r="U200" s="35"/>
    </row>
    <row r="201" spans="1:21" s="32" customFormat="1" ht="15">
      <c r="A201" s="250"/>
      <c r="B201" s="255"/>
      <c r="C201" s="73"/>
      <c r="D201" s="255"/>
      <c r="E201" s="277"/>
      <c r="F201" s="310"/>
      <c r="G201" s="35"/>
      <c r="H201" s="35"/>
      <c r="I201" s="35"/>
      <c r="J201" s="35"/>
      <c r="K201" s="35"/>
      <c r="L201" s="35"/>
      <c r="M201" s="36"/>
      <c r="N201" s="35"/>
      <c r="O201" s="35"/>
      <c r="P201" s="56"/>
      <c r="Q201" s="49"/>
      <c r="R201" s="35"/>
      <c r="S201" s="35"/>
      <c r="T201" s="35"/>
      <c r="U201" s="35"/>
    </row>
    <row r="202" spans="1:21" s="32" customFormat="1" ht="15">
      <c r="A202" s="250"/>
      <c r="B202" s="255"/>
      <c r="C202" s="73"/>
      <c r="D202" s="255"/>
      <c r="E202" s="277"/>
      <c r="F202" s="310"/>
      <c r="G202" s="35"/>
      <c r="H202" s="35"/>
      <c r="I202" s="35"/>
      <c r="J202" s="35"/>
      <c r="K202" s="35"/>
      <c r="L202" s="35"/>
      <c r="M202" s="36"/>
      <c r="N202" s="35"/>
      <c r="O202" s="35"/>
      <c r="P202" s="56"/>
      <c r="Q202" s="49"/>
      <c r="R202" s="35"/>
      <c r="S202" s="35"/>
      <c r="T202" s="35"/>
      <c r="U202" s="35"/>
    </row>
    <row r="203" spans="1:21" s="32" customFormat="1" ht="15">
      <c r="A203" s="250"/>
      <c r="B203" s="255"/>
      <c r="C203" s="73"/>
      <c r="D203" s="255"/>
      <c r="E203" s="277"/>
      <c r="F203" s="310"/>
      <c r="G203" s="35"/>
      <c r="H203" s="35"/>
      <c r="I203" s="35"/>
      <c r="J203" s="35"/>
      <c r="K203" s="35"/>
      <c r="L203" s="35"/>
      <c r="M203" s="36"/>
      <c r="N203" s="35"/>
      <c r="O203" s="35"/>
      <c r="P203" s="56"/>
      <c r="Q203" s="49"/>
      <c r="R203" s="35"/>
      <c r="S203" s="35"/>
      <c r="T203" s="35"/>
      <c r="U203" s="35"/>
    </row>
    <row r="204" spans="1:21" s="32" customFormat="1" ht="15">
      <c r="A204" s="250"/>
      <c r="B204" s="255"/>
      <c r="C204" s="73"/>
      <c r="D204" s="255"/>
      <c r="E204" s="277"/>
      <c r="F204" s="310"/>
      <c r="G204" s="35"/>
      <c r="H204" s="35"/>
      <c r="I204" s="35"/>
      <c r="J204" s="35"/>
      <c r="K204" s="35"/>
      <c r="L204" s="35"/>
      <c r="M204" s="36"/>
      <c r="N204" s="35"/>
      <c r="O204" s="35"/>
      <c r="P204" s="56"/>
      <c r="Q204" s="49"/>
      <c r="R204" s="35"/>
      <c r="S204" s="35"/>
      <c r="T204" s="35"/>
      <c r="U204" s="35"/>
    </row>
    <row r="205" spans="1:21" s="32" customFormat="1" ht="15">
      <c r="A205" s="250"/>
      <c r="B205" s="255"/>
      <c r="C205" s="73"/>
      <c r="D205" s="255"/>
      <c r="E205" s="277"/>
      <c r="F205" s="310"/>
      <c r="G205" s="35"/>
      <c r="H205" s="35"/>
      <c r="I205" s="35"/>
      <c r="J205" s="35"/>
      <c r="K205" s="35"/>
      <c r="L205" s="35"/>
      <c r="M205" s="36"/>
      <c r="N205" s="35"/>
      <c r="O205" s="35"/>
      <c r="P205" s="56"/>
      <c r="Q205" s="49"/>
      <c r="R205" s="35"/>
      <c r="S205" s="35"/>
      <c r="T205" s="35"/>
      <c r="U205" s="35"/>
    </row>
    <row r="206" spans="1:21" s="32" customFormat="1" ht="15">
      <c r="A206" s="250"/>
      <c r="B206" s="255"/>
      <c r="C206" s="73"/>
      <c r="D206" s="255"/>
      <c r="E206" s="277"/>
      <c r="F206" s="310"/>
      <c r="G206" s="35"/>
      <c r="H206" s="35"/>
      <c r="I206" s="35"/>
      <c r="J206" s="35"/>
      <c r="K206" s="35"/>
      <c r="L206" s="35"/>
      <c r="M206" s="36"/>
      <c r="N206" s="35"/>
      <c r="O206" s="35"/>
      <c r="P206" s="56"/>
      <c r="Q206" s="49"/>
      <c r="R206" s="35"/>
      <c r="S206" s="35"/>
      <c r="T206" s="35"/>
      <c r="U206" s="35"/>
    </row>
    <row r="207" spans="1:21" s="32" customFormat="1" ht="15">
      <c r="A207" s="250"/>
      <c r="B207" s="255"/>
      <c r="C207" s="73"/>
      <c r="D207" s="255"/>
      <c r="E207" s="277"/>
      <c r="F207" s="310"/>
      <c r="G207" s="35"/>
      <c r="H207" s="35"/>
      <c r="I207" s="35"/>
      <c r="J207" s="35"/>
      <c r="K207" s="35"/>
      <c r="L207" s="35"/>
      <c r="M207" s="36"/>
      <c r="N207" s="35"/>
      <c r="O207" s="35"/>
      <c r="P207" s="56"/>
      <c r="Q207" s="49"/>
      <c r="R207" s="35"/>
      <c r="S207" s="35"/>
      <c r="T207" s="35"/>
      <c r="U207" s="35"/>
    </row>
  </sheetData>
  <sheetProtection/>
  <mergeCells count="1">
    <mergeCell ref="A1:U1"/>
  </mergeCells>
  <hyperlinks>
    <hyperlink ref="F48" r:id="rId1" display="vaclavsehnoutka@seznam.cz"/>
    <hyperlink ref="F47" r:id="rId2" display="puskarmira.13@seznam.cz"/>
    <hyperlink ref="F13" r:id="rId3" display="jiri.filipovsky@volny.cz"/>
    <hyperlink ref="F34" r:id="rId4" display="kratochvilmilan@seznam.cz"/>
    <hyperlink ref="F43" r:id="rId5" display="martina.nosova@volny.cz"/>
    <hyperlink ref="F51" r:id="rId6" display="svobi.david@seznam.cz"/>
    <hyperlink ref="A104" r:id="rId7" display="rudolf.hejna@seznam.cz"/>
    <hyperlink ref="F24" r:id="rId8" display="karpisekB@seznam.cz"/>
    <hyperlink ref="F60" r:id="rId9" display="andrea.vreska@gmail.com"/>
  </hyperlinks>
  <printOptions/>
  <pageMargins left="0.75" right="0.75" top="1" bottom="1" header="0.4921259845" footer="0.4921259845"/>
  <pageSetup horizontalDpi="200" verticalDpi="200" orientation="landscape" paperSize="9" scale="98" r:id="rId10"/>
  <colBreaks count="1" manualBreakCount="1">
    <brk id="1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E1">
      <selection activeCell="I8" sqref="I8"/>
    </sheetView>
  </sheetViews>
  <sheetFormatPr defaultColWidth="9.140625" defaultRowHeight="12.75"/>
  <cols>
    <col min="1" max="1" width="9.140625" style="111" customWidth="1"/>
    <col min="2" max="8" width="9.140625" style="103" customWidth="1"/>
    <col min="9" max="9" width="9.140625" style="101" customWidth="1"/>
    <col min="10" max="13" width="9.140625" style="103" customWidth="1"/>
    <col min="14" max="14" width="10.28125" style="103" customWidth="1"/>
    <col min="15" max="16384" width="9.140625" style="103" customWidth="1"/>
  </cols>
  <sheetData>
    <row r="1" spans="3:14" ht="19.5" customHeight="1">
      <c r="C1" s="112"/>
      <c r="D1" s="113" t="s">
        <v>183</v>
      </c>
      <c r="E1" s="113"/>
      <c r="F1" s="113"/>
      <c r="G1" s="113"/>
      <c r="H1" s="113"/>
      <c r="I1" s="114"/>
      <c r="J1" s="113"/>
      <c r="K1" s="113"/>
      <c r="L1" s="113"/>
      <c r="M1" s="113"/>
      <c r="N1" s="115"/>
    </row>
    <row r="2" spans="3:14" ht="19.5" customHeight="1">
      <c r="C2" s="112"/>
      <c r="D2" s="113"/>
      <c r="E2" s="113"/>
      <c r="F2" s="113"/>
      <c r="G2" s="116" t="s">
        <v>184</v>
      </c>
      <c r="H2" s="113"/>
      <c r="I2" s="114"/>
      <c r="J2" s="113"/>
      <c r="K2" s="113"/>
      <c r="L2" s="113"/>
      <c r="M2" s="113"/>
      <c r="N2" s="115"/>
    </row>
    <row r="3" spans="3:14" ht="16.5" thickBot="1">
      <c r="C3" s="117" t="s">
        <v>338</v>
      </c>
      <c r="D3" s="117"/>
      <c r="E3" s="117"/>
      <c r="F3" s="117"/>
      <c r="G3" s="118"/>
      <c r="H3" s="117"/>
      <c r="I3" s="117"/>
      <c r="J3" s="119"/>
      <c r="K3" s="120"/>
      <c r="L3" s="121"/>
      <c r="M3" s="121"/>
      <c r="N3" s="112"/>
    </row>
    <row r="4" spans="1:14" ht="12.75">
      <c r="A4" s="122" t="s">
        <v>185</v>
      </c>
      <c r="B4" s="105"/>
      <c r="C4" s="105" t="s">
        <v>186</v>
      </c>
      <c r="D4" s="105"/>
      <c r="E4" s="105"/>
      <c r="F4" s="105"/>
      <c r="G4" s="105"/>
      <c r="I4" s="111" t="s">
        <v>187</v>
      </c>
      <c r="K4" s="105" t="s">
        <v>188</v>
      </c>
      <c r="L4" s="105"/>
      <c r="M4" s="105"/>
      <c r="N4" s="105"/>
    </row>
    <row r="5" spans="1:14" ht="12.75">
      <c r="A5" s="111" t="s">
        <v>189</v>
      </c>
      <c r="C5" s="105" t="s">
        <v>190</v>
      </c>
      <c r="D5" s="105"/>
      <c r="E5" s="105"/>
      <c r="F5" s="105"/>
      <c r="G5" s="105"/>
      <c r="I5" s="111"/>
      <c r="K5" s="105" t="s">
        <v>191</v>
      </c>
      <c r="L5" s="105"/>
      <c r="M5" s="105"/>
      <c r="N5" s="105"/>
    </row>
    <row r="6" spans="3:14" ht="12.75">
      <c r="C6" s="105" t="s">
        <v>192</v>
      </c>
      <c r="D6" s="105"/>
      <c r="E6" s="105"/>
      <c r="F6" s="105"/>
      <c r="G6" s="105"/>
      <c r="I6" s="101" t="s">
        <v>193</v>
      </c>
      <c r="K6" s="105" t="s">
        <v>194</v>
      </c>
      <c r="L6" s="105"/>
      <c r="M6" s="105"/>
      <c r="N6" s="105"/>
    </row>
    <row r="7" spans="3:14" ht="12.75">
      <c r="C7" s="105" t="s">
        <v>195</v>
      </c>
      <c r="D7" s="105"/>
      <c r="E7" s="105"/>
      <c r="F7" s="105"/>
      <c r="G7" s="105"/>
      <c r="I7" s="101" t="s">
        <v>196</v>
      </c>
      <c r="K7" s="105" t="s">
        <v>197</v>
      </c>
      <c r="L7" s="105"/>
      <c r="M7" s="105"/>
      <c r="N7" s="105"/>
    </row>
    <row r="8" spans="1:14" ht="12.75">
      <c r="A8" s="122" t="s">
        <v>198</v>
      </c>
      <c r="B8" s="105"/>
      <c r="C8" s="105" t="s">
        <v>199</v>
      </c>
      <c r="D8" s="105"/>
      <c r="E8" s="105"/>
      <c r="F8" s="105"/>
      <c r="G8" s="125"/>
      <c r="I8" s="101" t="s">
        <v>200</v>
      </c>
      <c r="K8" s="105" t="s">
        <v>201</v>
      </c>
      <c r="L8" s="105"/>
      <c r="M8" s="105"/>
      <c r="N8" s="105"/>
    </row>
    <row r="9" spans="1:14" ht="12.75" customHeight="1">
      <c r="A9" s="122" t="s">
        <v>1</v>
      </c>
      <c r="B9" s="105"/>
      <c r="C9" s="105" t="s">
        <v>334</v>
      </c>
      <c r="D9" s="105"/>
      <c r="E9" s="105"/>
      <c r="F9" s="105"/>
      <c r="G9" s="105"/>
      <c r="K9" s="105" t="s">
        <v>202</v>
      </c>
      <c r="L9" s="105"/>
      <c r="M9" s="105"/>
      <c r="N9" s="105"/>
    </row>
    <row r="10" spans="1:14" ht="12.75">
      <c r="A10" s="122" t="s">
        <v>203</v>
      </c>
      <c r="C10" s="126" t="s">
        <v>204</v>
      </c>
      <c r="D10" s="105" t="s">
        <v>335</v>
      </c>
      <c r="E10" s="105"/>
      <c r="F10" s="105"/>
      <c r="I10" s="101" t="s">
        <v>205</v>
      </c>
      <c r="K10" s="105" t="s">
        <v>424</v>
      </c>
      <c r="L10" s="105"/>
      <c r="M10" s="105"/>
      <c r="N10" s="105"/>
    </row>
    <row r="11" spans="1:14" ht="12.75">
      <c r="A11" s="122"/>
      <c r="B11" s="105"/>
      <c r="C11" s="127"/>
      <c r="D11" s="105" t="s">
        <v>206</v>
      </c>
      <c r="E11" s="128"/>
      <c r="F11" s="105"/>
      <c r="G11" s="127"/>
      <c r="K11" s="105" t="s">
        <v>207</v>
      </c>
      <c r="L11" s="105"/>
      <c r="M11" s="105"/>
      <c r="N11" s="105"/>
    </row>
    <row r="12" spans="3:14" ht="12.75">
      <c r="C12" s="127"/>
      <c r="D12" s="105" t="s">
        <v>208</v>
      </c>
      <c r="E12" s="105"/>
      <c r="F12" s="105"/>
      <c r="G12" s="127"/>
      <c r="I12" s="101" t="s">
        <v>209</v>
      </c>
      <c r="K12" s="105" t="s">
        <v>210</v>
      </c>
      <c r="L12" s="105"/>
      <c r="M12" s="105"/>
      <c r="N12" s="105"/>
    </row>
    <row r="13" spans="1:14" ht="12.75">
      <c r="A13" s="105"/>
      <c r="B13" s="105"/>
      <c r="C13" s="122" t="s">
        <v>211</v>
      </c>
      <c r="D13" s="105"/>
      <c r="E13" s="105"/>
      <c r="F13" s="105"/>
      <c r="G13" s="105"/>
      <c r="H13" s="105"/>
      <c r="K13" s="105" t="s">
        <v>212</v>
      </c>
      <c r="L13" s="105"/>
      <c r="M13" s="105"/>
      <c r="N13" s="105"/>
    </row>
    <row r="14" spans="2:15" ht="12.75">
      <c r="B14" s="105"/>
      <c r="C14" s="129" t="s">
        <v>213</v>
      </c>
      <c r="D14" s="105"/>
      <c r="E14" s="105"/>
      <c r="F14" s="105"/>
      <c r="G14" s="105"/>
      <c r="H14" s="105"/>
      <c r="I14" s="130" t="s">
        <v>214</v>
      </c>
      <c r="J14" s="131"/>
      <c r="K14" s="131" t="s">
        <v>215</v>
      </c>
      <c r="L14" s="131"/>
      <c r="M14" s="131"/>
      <c r="N14" s="131"/>
      <c r="O14" s="131"/>
    </row>
    <row r="15" spans="1:15" ht="12.75">
      <c r="A15" s="111" t="s">
        <v>216</v>
      </c>
      <c r="C15" s="132" t="s">
        <v>217</v>
      </c>
      <c r="D15" s="132" t="s">
        <v>345</v>
      </c>
      <c r="E15" s="132" t="s">
        <v>346</v>
      </c>
      <c r="F15" s="132"/>
      <c r="G15" s="105"/>
      <c r="H15" s="105"/>
      <c r="K15" s="131" t="s">
        <v>218</v>
      </c>
      <c r="L15" s="131"/>
      <c r="M15" s="131"/>
      <c r="N15" s="131"/>
      <c r="O15" s="131"/>
    </row>
    <row r="16" spans="3:11" ht="12.75">
      <c r="C16" s="132" t="s">
        <v>347</v>
      </c>
      <c r="D16" s="132"/>
      <c r="E16" s="105"/>
      <c r="F16" s="105"/>
      <c r="G16" s="105"/>
      <c r="H16" s="105"/>
      <c r="K16" s="103" t="s">
        <v>219</v>
      </c>
    </row>
    <row r="17" spans="3:10" ht="12.75">
      <c r="C17" s="132" t="s">
        <v>220</v>
      </c>
      <c r="D17" s="132"/>
      <c r="E17" s="132"/>
      <c r="F17" s="105"/>
      <c r="G17" s="105"/>
      <c r="H17" s="105"/>
      <c r="I17" s="122" t="s">
        <v>221</v>
      </c>
      <c r="J17" s="105"/>
    </row>
    <row r="18" spans="1:14" ht="12.75">
      <c r="A18" s="111" t="s">
        <v>222</v>
      </c>
      <c r="C18" s="105" t="s">
        <v>223</v>
      </c>
      <c r="D18" s="132"/>
      <c r="E18" s="132"/>
      <c r="F18" s="105"/>
      <c r="G18" s="105"/>
      <c r="H18" s="105"/>
      <c r="K18" s="105" t="s">
        <v>224</v>
      </c>
      <c r="L18" s="105"/>
      <c r="M18" s="105"/>
      <c r="N18" s="105"/>
    </row>
    <row r="19" spans="3:15" ht="12.75">
      <c r="C19" s="105" t="s">
        <v>225</v>
      </c>
      <c r="D19" s="132"/>
      <c r="E19" s="132"/>
      <c r="F19" s="105"/>
      <c r="G19" s="105"/>
      <c r="H19" s="105"/>
      <c r="K19" s="133" t="s">
        <v>226</v>
      </c>
      <c r="L19" s="105"/>
      <c r="M19" s="105"/>
      <c r="N19" s="105"/>
      <c r="O19" s="105"/>
    </row>
    <row r="20" spans="3:16" ht="12.75">
      <c r="C20" s="105" t="s">
        <v>227</v>
      </c>
      <c r="D20" s="105"/>
      <c r="E20" s="105"/>
      <c r="F20" s="134"/>
      <c r="G20" s="105"/>
      <c r="H20" s="105"/>
      <c r="K20" s="103" t="s">
        <v>228</v>
      </c>
      <c r="L20" s="103" t="s">
        <v>229</v>
      </c>
      <c r="P20" s="135"/>
    </row>
    <row r="21" spans="3:16" ht="12.75">
      <c r="C21" s="105" t="s">
        <v>230</v>
      </c>
      <c r="D21" s="105"/>
      <c r="E21" s="105"/>
      <c r="F21" s="134"/>
      <c r="G21" s="105"/>
      <c r="H21" s="105"/>
      <c r="K21" s="133" t="s">
        <v>231</v>
      </c>
      <c r="L21" s="105"/>
      <c r="M21" s="105"/>
      <c r="P21" s="135"/>
    </row>
    <row r="22" spans="3:13" ht="12.75">
      <c r="C22" s="103" t="s">
        <v>232</v>
      </c>
      <c r="G22" s="105"/>
      <c r="H22" s="105"/>
      <c r="K22" s="105" t="s">
        <v>233</v>
      </c>
      <c r="L22" s="105"/>
      <c r="M22" s="105"/>
    </row>
    <row r="23" spans="1:9" ht="12.75">
      <c r="A23" s="111" t="s">
        <v>234</v>
      </c>
      <c r="C23" s="105" t="s">
        <v>235</v>
      </c>
      <c r="D23" s="105"/>
      <c r="E23" s="105"/>
      <c r="F23" s="105"/>
      <c r="G23" s="105"/>
      <c r="H23" s="105"/>
      <c r="I23" s="101" t="s">
        <v>236</v>
      </c>
    </row>
    <row r="24" spans="1:15" ht="12.75">
      <c r="A24" s="111" t="s">
        <v>237</v>
      </c>
      <c r="C24" s="127" t="s">
        <v>238</v>
      </c>
      <c r="D24" s="127"/>
      <c r="K24" s="136" t="s">
        <v>239</v>
      </c>
      <c r="L24" s="105"/>
      <c r="M24" s="105"/>
      <c r="N24" s="105"/>
      <c r="O24" s="105"/>
    </row>
    <row r="25" spans="1:15" ht="12.75">
      <c r="A25" s="103"/>
      <c r="C25" s="137" t="s">
        <v>240</v>
      </c>
      <c r="D25" s="127"/>
      <c r="K25" s="136" t="s">
        <v>241</v>
      </c>
      <c r="L25" s="105"/>
      <c r="M25" s="105"/>
      <c r="N25" s="105"/>
      <c r="O25" s="105"/>
    </row>
    <row r="26" spans="1:9" ht="12.75">
      <c r="A26" s="111" t="s">
        <v>242</v>
      </c>
      <c r="C26" s="127" t="s">
        <v>243</v>
      </c>
      <c r="D26" s="127"/>
      <c r="E26" s="127"/>
      <c r="I26" s="101" t="s">
        <v>244</v>
      </c>
    </row>
    <row r="27" spans="1:16" ht="14.25">
      <c r="A27" s="111" t="s">
        <v>245</v>
      </c>
      <c r="C27" s="127" t="s">
        <v>337</v>
      </c>
      <c r="D27" s="127"/>
      <c r="E27" s="127"/>
      <c r="F27" s="127"/>
      <c r="G27" s="127"/>
      <c r="J27" s="138"/>
      <c r="K27" s="362" t="s">
        <v>246</v>
      </c>
      <c r="L27" s="362"/>
      <c r="M27" s="362"/>
      <c r="N27" s="362"/>
      <c r="O27" s="362"/>
      <c r="P27" s="127"/>
    </row>
    <row r="28" spans="3:16" ht="14.25">
      <c r="C28" s="139"/>
      <c r="D28" s="139"/>
      <c r="E28" s="139"/>
      <c r="F28" s="139"/>
      <c r="G28" s="139"/>
      <c r="H28" s="139"/>
      <c r="J28" s="138"/>
      <c r="K28" s="363" t="s">
        <v>336</v>
      </c>
      <c r="L28" s="363"/>
      <c r="M28" s="363"/>
      <c r="N28" s="362"/>
      <c r="O28" s="360"/>
      <c r="P28" s="127"/>
    </row>
    <row r="29" spans="3:16" ht="14.25">
      <c r="C29" s="359" t="s">
        <v>247</v>
      </c>
      <c r="D29" s="360"/>
      <c r="E29" s="360"/>
      <c r="F29" s="360"/>
      <c r="G29" s="361"/>
      <c r="H29" s="361"/>
      <c r="J29" s="138"/>
      <c r="K29" s="363" t="s">
        <v>248</v>
      </c>
      <c r="L29" s="363"/>
      <c r="M29" s="363"/>
      <c r="N29" s="363"/>
      <c r="O29" s="360"/>
      <c r="P29" s="127"/>
    </row>
    <row r="30" spans="1:16" ht="14.25">
      <c r="A30" s="103"/>
      <c r="C30" s="359" t="s">
        <v>249</v>
      </c>
      <c r="D30" s="360"/>
      <c r="E30" s="360"/>
      <c r="F30" s="360"/>
      <c r="G30" s="361"/>
      <c r="H30" s="361"/>
      <c r="J30" s="138"/>
      <c r="K30" s="363" t="s">
        <v>250</v>
      </c>
      <c r="L30" s="363"/>
      <c r="M30" s="363" t="s">
        <v>251</v>
      </c>
      <c r="N30" s="363"/>
      <c r="O30" s="363"/>
      <c r="P30" s="127"/>
    </row>
    <row r="31" spans="7:16" ht="14.25">
      <c r="G31" s="139"/>
      <c r="H31" s="139"/>
      <c r="J31" s="138"/>
      <c r="K31" s="364" t="s">
        <v>252</v>
      </c>
      <c r="L31" s="363"/>
      <c r="M31" s="363"/>
      <c r="N31" s="363"/>
      <c r="O31" s="363"/>
      <c r="P31" s="127"/>
    </row>
    <row r="32" spans="7:8" ht="12.75">
      <c r="G32" s="139"/>
      <c r="H32" s="139"/>
    </row>
    <row r="33" spans="1:9" ht="12.75">
      <c r="A33" s="103"/>
      <c r="G33" s="139"/>
      <c r="H33" s="139"/>
      <c r="I33" s="101" t="s">
        <v>253</v>
      </c>
    </row>
    <row r="34" spans="7:9" ht="12.75">
      <c r="G34" s="139"/>
      <c r="H34" s="139"/>
      <c r="I34" s="101" t="s">
        <v>254</v>
      </c>
    </row>
    <row r="35" spans="1:15" ht="12.75">
      <c r="A35" s="103"/>
      <c r="G35" s="139"/>
      <c r="H35" s="139"/>
      <c r="K35" s="105" t="s">
        <v>255</v>
      </c>
      <c r="L35" s="105"/>
      <c r="M35" s="105"/>
      <c r="N35" s="105"/>
      <c r="O35" s="105"/>
    </row>
    <row r="36" spans="8:15" ht="12.75">
      <c r="H36" s="139"/>
      <c r="K36" s="105" t="s">
        <v>256</v>
      </c>
      <c r="L36" s="105"/>
      <c r="M36" s="105"/>
      <c r="N36" s="105"/>
      <c r="O36" s="105"/>
    </row>
    <row r="37" spans="1:15" ht="12.75">
      <c r="A37" s="103"/>
      <c r="G37" s="139"/>
      <c r="H37" s="139"/>
      <c r="I37" s="101" t="s">
        <v>257</v>
      </c>
      <c r="K37" s="139"/>
      <c r="L37" s="139"/>
      <c r="M37" s="139"/>
      <c r="N37" s="139"/>
      <c r="O37" s="139"/>
    </row>
    <row r="38" spans="1:12" ht="20.25">
      <c r="A38" s="140" t="s">
        <v>258</v>
      </c>
      <c r="B38" s="140"/>
      <c r="C38" s="140"/>
      <c r="G38" s="139"/>
      <c r="H38" s="139"/>
      <c r="K38" s="111" t="s">
        <v>259</v>
      </c>
      <c r="L38" s="111"/>
    </row>
    <row r="39" spans="1:14" ht="20.25">
      <c r="A39" s="141" t="s">
        <v>260</v>
      </c>
      <c r="B39" s="140"/>
      <c r="C39" s="140"/>
      <c r="D39" s="142"/>
      <c r="E39" s="142"/>
      <c r="F39" s="142"/>
      <c r="G39" s="143"/>
      <c r="H39" s="139"/>
      <c r="I39" s="122" t="s">
        <v>261</v>
      </c>
      <c r="J39" s="105"/>
      <c r="K39" s="105"/>
      <c r="L39" s="105"/>
      <c r="M39" s="105"/>
      <c r="N39" s="103" t="s">
        <v>262</v>
      </c>
    </row>
    <row r="40" spans="1:8" ht="20.25">
      <c r="A40" s="140"/>
      <c r="B40" s="140"/>
      <c r="C40" s="140"/>
      <c r="G40" s="139"/>
      <c r="H40" s="139"/>
    </row>
    <row r="41" spans="1:8" ht="12.75">
      <c r="A41" s="103"/>
      <c r="G41" s="139"/>
      <c r="H41" s="139"/>
    </row>
    <row r="42" ht="12.75">
      <c r="A42" s="103"/>
    </row>
    <row r="48" ht="12.75">
      <c r="A48" s="103"/>
    </row>
    <row r="52" ht="12.75">
      <c r="A52" s="103"/>
    </row>
    <row r="53" ht="12.75">
      <c r="I53" s="103"/>
    </row>
    <row r="54" ht="12.75">
      <c r="I54" s="103"/>
    </row>
    <row r="55" ht="12.75">
      <c r="I55" s="103"/>
    </row>
    <row r="62" spans="6:9" ht="12.75">
      <c r="F62" s="101"/>
      <c r="I62" s="103"/>
    </row>
    <row r="63" spans="6:9" ht="12.75">
      <c r="F63" s="101"/>
      <c r="I63" s="103"/>
    </row>
    <row r="64" spans="6:9" ht="12.75">
      <c r="F64" s="101"/>
      <c r="I64" s="103"/>
    </row>
    <row r="65" spans="6:9" ht="12.75">
      <c r="F65" s="101"/>
      <c r="I65" s="103"/>
    </row>
    <row r="66" spans="6:9" ht="12.75">
      <c r="F66" s="101"/>
      <c r="I66" s="103"/>
    </row>
    <row r="67" spans="6:9" ht="12.75">
      <c r="F67" s="101"/>
      <c r="I67" s="103"/>
    </row>
    <row r="68" spans="3:9" ht="12.75">
      <c r="C68" s="139"/>
      <c r="D68" s="139"/>
      <c r="E68" s="139"/>
      <c r="F68" s="101"/>
      <c r="I68" s="103"/>
    </row>
    <row r="69" spans="3:9" ht="12.75">
      <c r="C69" s="139"/>
      <c r="D69" s="139"/>
      <c r="E69" s="139"/>
      <c r="F69" s="101"/>
      <c r="I69" s="103"/>
    </row>
    <row r="70" spans="3:9" ht="12.75">
      <c r="C70" s="139"/>
      <c r="D70" s="139"/>
      <c r="E70" s="139"/>
      <c r="F70" s="101"/>
      <c r="I70" s="103"/>
    </row>
    <row r="71" spans="3:6" ht="12.75">
      <c r="C71" s="139"/>
      <c r="D71" s="139"/>
      <c r="E71" s="139"/>
      <c r="F71" s="139"/>
    </row>
    <row r="72" spans="3:6" ht="12.75">
      <c r="C72" s="139"/>
      <c r="D72" s="139"/>
      <c r="E72" s="139"/>
      <c r="F72" s="139"/>
    </row>
    <row r="73" spans="3:6" ht="12.75">
      <c r="C73" s="139"/>
      <c r="D73" s="139"/>
      <c r="E73" s="139"/>
      <c r="F73" s="139"/>
    </row>
    <row r="74" spans="3:6" ht="12.75">
      <c r="C74" s="139"/>
      <c r="D74" s="139"/>
      <c r="E74" s="139"/>
      <c r="F74" s="139"/>
    </row>
    <row r="75" spans="3:6" ht="12.75">
      <c r="C75" s="144"/>
      <c r="D75" s="139"/>
      <c r="E75" s="139"/>
      <c r="F75" s="139"/>
    </row>
    <row r="76" spans="3:6" ht="12.75">
      <c r="C76" s="139"/>
      <c r="D76" s="139"/>
      <c r="E76" s="139"/>
      <c r="F76" s="139"/>
    </row>
    <row r="77" spans="3:6" ht="12.75">
      <c r="C77" s="144"/>
      <c r="D77" s="139"/>
      <c r="E77" s="139"/>
      <c r="F77" s="139"/>
    </row>
    <row r="78" spans="3:6" ht="12.75">
      <c r="C78" s="139"/>
      <c r="D78" s="139"/>
      <c r="E78" s="139"/>
      <c r="F78" s="139"/>
    </row>
    <row r="79" spans="3:6" ht="12.75">
      <c r="C79" s="139"/>
      <c r="D79" s="139"/>
      <c r="E79" s="139"/>
      <c r="F79" s="139"/>
    </row>
    <row r="84" ht="12.75">
      <c r="A84" s="101"/>
    </row>
    <row r="85" ht="12.75">
      <c r="A85" s="101"/>
    </row>
    <row r="86" ht="12.75">
      <c r="A86" s="101"/>
    </row>
    <row r="87" spans="1:3" ht="12.75">
      <c r="A87" s="101"/>
      <c r="C87"/>
    </row>
  </sheetData>
  <sheetProtection/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8.57421875" style="0" customWidth="1"/>
  </cols>
  <sheetData>
    <row r="1" ht="15.75">
      <c r="A1" s="123"/>
    </row>
    <row r="2" ht="15.75">
      <c r="A2" s="123" t="s">
        <v>469</v>
      </c>
    </row>
    <row r="3" ht="15.75">
      <c r="A3" s="124"/>
    </row>
    <row r="4" ht="15.75">
      <c r="A4" s="124" t="s">
        <v>470</v>
      </c>
    </row>
    <row r="5" ht="15.75">
      <c r="A5" s="124" t="s">
        <v>471</v>
      </c>
    </row>
    <row r="6" ht="15.75">
      <c r="A6" s="124"/>
    </row>
    <row r="7" ht="15.75">
      <c r="A7" s="124" t="s">
        <v>472</v>
      </c>
    </row>
    <row r="8" ht="15.75">
      <c r="A8" s="124" t="s">
        <v>473</v>
      </c>
    </row>
    <row r="9" ht="15.75">
      <c r="A9" s="124" t="s">
        <v>474</v>
      </c>
    </row>
    <row r="10" ht="15.75">
      <c r="A10" s="124" t="s">
        <v>475</v>
      </c>
    </row>
    <row r="11" ht="15.75">
      <c r="A11" s="124" t="s">
        <v>476</v>
      </c>
    </row>
    <row r="12" ht="15.75">
      <c r="A12" s="124"/>
    </row>
    <row r="13" ht="15.75">
      <c r="A13" s="124" t="s">
        <v>477</v>
      </c>
    </row>
    <row r="14" ht="15.75">
      <c r="A14" s="124" t="s">
        <v>478</v>
      </c>
    </row>
    <row r="15" ht="15.75">
      <c r="A15" s="124" t="s">
        <v>474</v>
      </c>
    </row>
    <row r="16" ht="15.75">
      <c r="A16" s="124" t="s">
        <v>479</v>
      </c>
    </row>
    <row r="17" ht="15.75">
      <c r="A17" s="124" t="s">
        <v>480</v>
      </c>
    </row>
    <row r="18" ht="15.75">
      <c r="A18" s="124"/>
    </row>
    <row r="19" ht="15.75">
      <c r="A19" s="124" t="s">
        <v>481</v>
      </c>
    </row>
    <row r="20" ht="15.75">
      <c r="A20" s="124" t="s">
        <v>482</v>
      </c>
    </row>
    <row r="21" ht="15.75">
      <c r="A21" s="124"/>
    </row>
    <row r="22" ht="15.75">
      <c r="A22" s="124" t="s">
        <v>483</v>
      </c>
    </row>
    <row r="23" ht="15.75">
      <c r="A23" s="124" t="s">
        <v>484</v>
      </c>
    </row>
    <row r="24" ht="15.75">
      <c r="A24" s="124"/>
    </row>
    <row r="25" ht="15.75">
      <c r="A25" s="124" t="s">
        <v>485</v>
      </c>
    </row>
    <row r="26" ht="15.75">
      <c r="A26" s="124" t="s">
        <v>486</v>
      </c>
    </row>
    <row r="27" ht="15.75">
      <c r="A27" s="124"/>
    </row>
    <row r="28" ht="15.75">
      <c r="A28" s="124" t="s">
        <v>487</v>
      </c>
    </row>
    <row r="29" ht="15.75">
      <c r="A29" s="124" t="s">
        <v>488</v>
      </c>
    </row>
    <row r="30" ht="15.75">
      <c r="A30" s="124"/>
    </row>
    <row r="31" ht="15.75">
      <c r="A31" s="124" t="s">
        <v>489</v>
      </c>
    </row>
    <row r="32" ht="15.75">
      <c r="A32" s="124" t="s">
        <v>490</v>
      </c>
    </row>
    <row r="33" ht="15.75">
      <c r="A33" s="124"/>
    </row>
    <row r="34" ht="15.75">
      <c r="A34" s="124" t="s">
        <v>491</v>
      </c>
    </row>
    <row r="35" ht="15.75">
      <c r="A35" s="124" t="s">
        <v>492</v>
      </c>
    </row>
    <row r="36" ht="15.75">
      <c r="A36" s="124"/>
    </row>
    <row r="37" ht="12.75">
      <c r="A37" t="s">
        <v>493</v>
      </c>
    </row>
    <row r="38" ht="12.75">
      <c r="A38" t="s">
        <v>494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G19">
      <selection activeCell="Q39" sqref="Q39"/>
    </sheetView>
  </sheetViews>
  <sheetFormatPr defaultColWidth="9.140625" defaultRowHeight="12.75"/>
  <cols>
    <col min="1" max="1" width="9.140625" style="111" customWidth="1"/>
    <col min="2" max="8" width="9.140625" style="103" customWidth="1"/>
    <col min="9" max="9" width="9.140625" style="101" customWidth="1"/>
    <col min="10" max="13" width="9.140625" style="103" customWidth="1"/>
    <col min="14" max="14" width="10.28125" style="103" customWidth="1"/>
    <col min="15" max="16384" width="9.140625" style="103" customWidth="1"/>
  </cols>
  <sheetData>
    <row r="1" spans="3:14" ht="19.5" customHeight="1">
      <c r="C1" s="112"/>
      <c r="D1" s="113" t="s">
        <v>183</v>
      </c>
      <c r="E1" s="113"/>
      <c r="F1" s="113"/>
      <c r="G1" s="113"/>
      <c r="H1" s="113"/>
      <c r="I1" s="114"/>
      <c r="J1" s="113"/>
      <c r="K1" s="113"/>
      <c r="L1" s="113"/>
      <c r="M1" s="113"/>
      <c r="N1" s="115"/>
    </row>
    <row r="2" spans="3:14" ht="19.5" customHeight="1">
      <c r="C2" s="112"/>
      <c r="D2" s="113"/>
      <c r="E2" s="113"/>
      <c r="F2" s="113"/>
      <c r="G2" s="116" t="s">
        <v>184</v>
      </c>
      <c r="H2" s="113"/>
      <c r="I2" s="114"/>
      <c r="J2" s="113"/>
      <c r="K2" s="113"/>
      <c r="L2" s="113"/>
      <c r="M2" s="113"/>
      <c r="N2" s="115"/>
    </row>
    <row r="3" spans="3:14" ht="22.5" thickBot="1">
      <c r="C3" s="398" t="s">
        <v>411</v>
      </c>
      <c r="D3" s="117"/>
      <c r="E3" s="399"/>
      <c r="F3" s="399"/>
      <c r="G3" s="400"/>
      <c r="H3" s="399"/>
      <c r="I3" s="399"/>
      <c r="J3" s="119"/>
      <c r="K3" s="120"/>
      <c r="L3" s="121"/>
      <c r="M3" s="121"/>
      <c r="N3" s="112"/>
    </row>
    <row r="4" spans="1:14" ht="12.75">
      <c r="A4" s="122" t="s">
        <v>185</v>
      </c>
      <c r="B4" s="105"/>
      <c r="C4" s="105" t="s">
        <v>186</v>
      </c>
      <c r="D4" s="105"/>
      <c r="E4" s="105"/>
      <c r="F4" s="105"/>
      <c r="G4" s="105"/>
      <c r="I4" s="111" t="s">
        <v>187</v>
      </c>
      <c r="K4" s="105" t="s">
        <v>188</v>
      </c>
      <c r="L4" s="105"/>
      <c r="M4" s="105"/>
      <c r="N4" s="105"/>
    </row>
    <row r="5" spans="1:14" ht="12.75">
      <c r="A5" s="111" t="s">
        <v>189</v>
      </c>
      <c r="C5" s="105" t="s">
        <v>190</v>
      </c>
      <c r="D5" s="105"/>
      <c r="E5" s="105"/>
      <c r="F5" s="105"/>
      <c r="G5" s="105"/>
      <c r="I5" s="111"/>
      <c r="K5" s="105" t="s">
        <v>191</v>
      </c>
      <c r="L5" s="105"/>
      <c r="M5" s="105"/>
      <c r="N5" s="105"/>
    </row>
    <row r="6" spans="3:14" ht="12.75">
      <c r="C6" s="105" t="s">
        <v>192</v>
      </c>
      <c r="D6" s="105"/>
      <c r="E6" s="105"/>
      <c r="F6" s="105"/>
      <c r="G6" s="105"/>
      <c r="I6" s="101" t="s">
        <v>193</v>
      </c>
      <c r="K6" s="105" t="s">
        <v>194</v>
      </c>
      <c r="L6" s="105"/>
      <c r="M6" s="105"/>
      <c r="N6" s="105"/>
    </row>
    <row r="7" spans="3:14" ht="12.75">
      <c r="C7" s="105" t="s">
        <v>195</v>
      </c>
      <c r="D7" s="105"/>
      <c r="E7" s="105"/>
      <c r="F7" s="105"/>
      <c r="G7" s="105"/>
      <c r="I7" s="101" t="s">
        <v>196</v>
      </c>
      <c r="K7" s="105" t="s">
        <v>197</v>
      </c>
      <c r="L7" s="105"/>
      <c r="M7" s="105"/>
      <c r="N7" s="105"/>
    </row>
    <row r="8" spans="1:14" ht="12.75">
      <c r="A8" s="122" t="s">
        <v>198</v>
      </c>
      <c r="B8" s="105"/>
      <c r="C8" s="105" t="s">
        <v>199</v>
      </c>
      <c r="D8" s="105"/>
      <c r="E8" s="105"/>
      <c r="F8" s="105"/>
      <c r="G8" s="125"/>
      <c r="I8" s="101" t="s">
        <v>200</v>
      </c>
      <c r="K8" s="105" t="s">
        <v>201</v>
      </c>
      <c r="L8" s="105"/>
      <c r="M8" s="105"/>
      <c r="N8" s="105"/>
    </row>
    <row r="9" spans="1:14" ht="12.75" customHeight="1">
      <c r="A9" s="122" t="s">
        <v>1</v>
      </c>
      <c r="B9" s="105"/>
      <c r="C9" s="105" t="s">
        <v>401</v>
      </c>
      <c r="D9" s="105"/>
      <c r="E9" s="105" t="s">
        <v>402</v>
      </c>
      <c r="F9" s="105"/>
      <c r="G9" s="105"/>
      <c r="K9" s="105" t="s">
        <v>202</v>
      </c>
      <c r="L9" s="105"/>
      <c r="M9" s="105"/>
      <c r="N9" s="105"/>
    </row>
    <row r="10" spans="1:14" ht="12.75">
      <c r="A10" s="122" t="s">
        <v>203</v>
      </c>
      <c r="C10" s="126" t="s">
        <v>204</v>
      </c>
      <c r="D10" s="105" t="s">
        <v>335</v>
      </c>
      <c r="E10" s="105"/>
      <c r="F10" s="105"/>
      <c r="I10" s="101" t="s">
        <v>205</v>
      </c>
      <c r="K10" s="105" t="s">
        <v>425</v>
      </c>
      <c r="L10" s="105"/>
      <c r="M10" s="105"/>
      <c r="N10" s="105"/>
    </row>
    <row r="11" spans="1:14" ht="12.75">
      <c r="A11" s="122"/>
      <c r="B11" s="105"/>
      <c r="C11" s="127"/>
      <c r="D11" s="105" t="s">
        <v>206</v>
      </c>
      <c r="E11" s="128"/>
      <c r="F11" s="105"/>
      <c r="G11" s="127"/>
      <c r="K11" s="105" t="s">
        <v>409</v>
      </c>
      <c r="L11" s="105"/>
      <c r="M11" s="105"/>
      <c r="N11" s="105"/>
    </row>
    <row r="12" spans="3:14" ht="12.75">
      <c r="C12" s="127"/>
      <c r="D12" s="105" t="s">
        <v>208</v>
      </c>
      <c r="E12" s="105"/>
      <c r="F12" s="105"/>
      <c r="G12" s="127"/>
      <c r="I12" s="101" t="s">
        <v>209</v>
      </c>
      <c r="K12" s="105" t="s">
        <v>210</v>
      </c>
      <c r="L12" s="105"/>
      <c r="M12" s="105"/>
      <c r="N12" s="105"/>
    </row>
    <row r="13" spans="1:14" ht="12.75">
      <c r="A13" s="105"/>
      <c r="B13" s="105"/>
      <c r="C13" s="122" t="s">
        <v>211</v>
      </c>
      <c r="D13" s="105"/>
      <c r="E13" s="105"/>
      <c r="F13" s="105"/>
      <c r="G13" s="105"/>
      <c r="H13" s="105"/>
      <c r="K13" s="105" t="s">
        <v>212</v>
      </c>
      <c r="L13" s="105"/>
      <c r="M13" s="105"/>
      <c r="N13" s="105"/>
    </row>
    <row r="14" spans="2:15" ht="12.75">
      <c r="B14" s="105"/>
      <c r="C14" s="129" t="s">
        <v>213</v>
      </c>
      <c r="D14" s="105"/>
      <c r="E14" s="105"/>
      <c r="F14" s="105"/>
      <c r="G14" s="105"/>
      <c r="H14" s="105"/>
      <c r="I14" s="130" t="s">
        <v>214</v>
      </c>
      <c r="J14" s="131"/>
      <c r="K14" s="131" t="s">
        <v>215</v>
      </c>
      <c r="L14" s="131"/>
      <c r="M14" s="131"/>
      <c r="N14" s="131"/>
      <c r="O14" s="131"/>
    </row>
    <row r="15" spans="1:15" ht="12.75">
      <c r="A15" s="111" t="s">
        <v>216</v>
      </c>
      <c r="C15" s="132" t="s">
        <v>217</v>
      </c>
      <c r="D15" s="132" t="s">
        <v>403</v>
      </c>
      <c r="E15" s="132" t="s">
        <v>404</v>
      </c>
      <c r="F15" s="132"/>
      <c r="G15" s="105"/>
      <c r="H15" s="105"/>
      <c r="K15" s="131"/>
      <c r="L15" s="131"/>
      <c r="M15" s="131"/>
      <c r="N15" s="131"/>
      <c r="O15" s="131"/>
    </row>
    <row r="16" spans="3:8" ht="12.75">
      <c r="C16" s="132" t="s">
        <v>405</v>
      </c>
      <c r="D16" s="132"/>
      <c r="E16" s="105"/>
      <c r="F16" s="105"/>
      <c r="G16" s="105"/>
      <c r="H16" s="105"/>
    </row>
    <row r="17" spans="3:10" ht="12.75">
      <c r="C17" s="132"/>
      <c r="D17" s="132"/>
      <c r="E17" s="132"/>
      <c r="F17" s="105"/>
      <c r="G17" s="105"/>
      <c r="H17" s="105"/>
      <c r="I17" s="122" t="s">
        <v>221</v>
      </c>
      <c r="J17" s="105"/>
    </row>
    <row r="18" spans="1:14" ht="12.75">
      <c r="A18" s="111" t="s">
        <v>222</v>
      </c>
      <c r="C18" s="401" t="s">
        <v>406</v>
      </c>
      <c r="D18" s="132"/>
      <c r="E18" s="132"/>
      <c r="F18" s="401"/>
      <c r="G18" s="401"/>
      <c r="H18" s="105"/>
      <c r="K18" s="105" t="s">
        <v>410</v>
      </c>
      <c r="L18" s="105"/>
      <c r="M18" s="105"/>
      <c r="N18" s="105"/>
    </row>
    <row r="19" spans="3:15" ht="12.75">
      <c r="C19" s="401" t="s">
        <v>407</v>
      </c>
      <c r="D19" s="132"/>
      <c r="E19" s="132"/>
      <c r="F19" s="401"/>
      <c r="G19" s="401"/>
      <c r="H19" s="105"/>
      <c r="K19" s="133" t="s">
        <v>226</v>
      </c>
      <c r="L19" s="105"/>
      <c r="M19" s="105"/>
      <c r="N19" s="105"/>
      <c r="O19" s="105"/>
    </row>
    <row r="20" spans="3:16" ht="12.75">
      <c r="C20" s="401" t="s">
        <v>408</v>
      </c>
      <c r="D20" s="401"/>
      <c r="E20" s="401"/>
      <c r="F20" s="132"/>
      <c r="G20" s="401"/>
      <c r="H20" s="105"/>
      <c r="K20" s="103" t="s">
        <v>228</v>
      </c>
      <c r="L20" s="103" t="s">
        <v>229</v>
      </c>
      <c r="P20" s="135"/>
    </row>
    <row r="21" spans="3:16" ht="12.75">
      <c r="C21" s="105"/>
      <c r="D21" s="105"/>
      <c r="E21" s="105"/>
      <c r="F21" s="134"/>
      <c r="G21" s="105"/>
      <c r="H21" s="105"/>
      <c r="K21" s="133" t="s">
        <v>231</v>
      </c>
      <c r="L21" s="105"/>
      <c r="M21" s="105"/>
      <c r="P21" s="135"/>
    </row>
    <row r="22" spans="7:13" ht="12.75">
      <c r="G22" s="105"/>
      <c r="H22" s="105"/>
      <c r="K22" s="105" t="s">
        <v>233</v>
      </c>
      <c r="L22" s="105"/>
      <c r="M22" s="105"/>
    </row>
    <row r="23" spans="1:9" ht="12.75">
      <c r="A23" s="111" t="s">
        <v>234</v>
      </c>
      <c r="C23" s="105" t="s">
        <v>235</v>
      </c>
      <c r="D23" s="105"/>
      <c r="E23" s="105"/>
      <c r="F23" s="105"/>
      <c r="G23" s="105"/>
      <c r="H23" s="105"/>
      <c r="I23" s="101" t="s">
        <v>236</v>
      </c>
    </row>
    <row r="24" spans="1:15" ht="12.75">
      <c r="A24" s="111" t="s">
        <v>237</v>
      </c>
      <c r="C24" s="127" t="s">
        <v>238</v>
      </c>
      <c r="D24" s="127"/>
      <c r="K24" s="136" t="s">
        <v>239</v>
      </c>
      <c r="L24" s="105"/>
      <c r="M24" s="105"/>
      <c r="N24" s="105"/>
      <c r="O24" s="105"/>
    </row>
    <row r="25" spans="1:15" ht="12.75">
      <c r="A25" s="103"/>
      <c r="C25" s="137"/>
      <c r="D25" s="127"/>
      <c r="K25" s="136" t="s">
        <v>241</v>
      </c>
      <c r="L25" s="105"/>
      <c r="M25" s="105"/>
      <c r="N25" s="105"/>
      <c r="O25" s="105"/>
    </row>
    <row r="26" spans="1:9" ht="12.75">
      <c r="A26" s="111" t="s">
        <v>242</v>
      </c>
      <c r="C26" s="127" t="s">
        <v>243</v>
      </c>
      <c r="D26" s="127"/>
      <c r="E26" s="127"/>
      <c r="I26" s="101" t="s">
        <v>244</v>
      </c>
    </row>
    <row r="27" spans="1:16" ht="14.25">
      <c r="A27" s="111" t="s">
        <v>245</v>
      </c>
      <c r="C27" s="127" t="s">
        <v>337</v>
      </c>
      <c r="D27" s="127"/>
      <c r="E27" s="127"/>
      <c r="F27" s="127"/>
      <c r="G27" s="127"/>
      <c r="J27" s="138"/>
      <c r="K27" s="362" t="s">
        <v>246</v>
      </c>
      <c r="L27" s="362"/>
      <c r="M27" s="362"/>
      <c r="N27" s="362"/>
      <c r="O27" s="362"/>
      <c r="P27" s="127"/>
    </row>
    <row r="28" spans="3:16" ht="14.25">
      <c r="C28" s="139"/>
      <c r="D28" s="139"/>
      <c r="E28" s="139"/>
      <c r="F28" s="139"/>
      <c r="G28" s="139"/>
      <c r="H28" s="139"/>
      <c r="J28" s="138"/>
      <c r="K28" s="363" t="s">
        <v>336</v>
      </c>
      <c r="L28" s="363"/>
      <c r="M28" s="363"/>
      <c r="N28" s="362"/>
      <c r="O28" s="360"/>
      <c r="P28" s="127"/>
    </row>
    <row r="29" spans="3:16" ht="14.25">
      <c r="C29" s="359"/>
      <c r="D29" s="360"/>
      <c r="E29" s="360"/>
      <c r="F29" s="360"/>
      <c r="G29" s="361"/>
      <c r="H29" s="361"/>
      <c r="J29" s="138"/>
      <c r="K29" s="363" t="s">
        <v>248</v>
      </c>
      <c r="L29" s="363"/>
      <c r="M29" s="363"/>
      <c r="N29" s="363"/>
      <c r="O29" s="360"/>
      <c r="P29" s="127"/>
    </row>
    <row r="30" spans="1:16" ht="14.25">
      <c r="A30" s="103"/>
      <c r="C30" s="359"/>
      <c r="D30" s="360"/>
      <c r="E30" s="360"/>
      <c r="F30" s="360"/>
      <c r="G30" s="361"/>
      <c r="H30" s="361"/>
      <c r="J30" s="138"/>
      <c r="K30" s="363" t="s">
        <v>250</v>
      </c>
      <c r="L30" s="363"/>
      <c r="M30" s="363" t="s">
        <v>251</v>
      </c>
      <c r="N30" s="363"/>
      <c r="O30" s="363"/>
      <c r="P30" s="127"/>
    </row>
    <row r="31" spans="7:16" ht="14.25">
      <c r="G31" s="139"/>
      <c r="H31" s="139"/>
      <c r="J31" s="138"/>
      <c r="K31" s="364" t="s">
        <v>252</v>
      </c>
      <c r="L31" s="363"/>
      <c r="M31" s="363"/>
      <c r="N31" s="363"/>
      <c r="O31" s="363"/>
      <c r="P31" s="127"/>
    </row>
    <row r="32" spans="7:8" ht="12.75">
      <c r="G32" s="139"/>
      <c r="H32" s="139"/>
    </row>
    <row r="33" spans="1:9" ht="12.75">
      <c r="A33" s="103"/>
      <c r="G33" s="139"/>
      <c r="H33" s="139"/>
      <c r="I33" s="101" t="s">
        <v>253</v>
      </c>
    </row>
    <row r="34" spans="7:9" ht="12.75">
      <c r="G34" s="139"/>
      <c r="H34" s="139"/>
      <c r="I34" s="101" t="s">
        <v>254</v>
      </c>
    </row>
    <row r="35" spans="1:15" ht="12.75">
      <c r="A35" s="103"/>
      <c r="G35" s="139"/>
      <c r="H35" s="139"/>
      <c r="K35" s="105" t="s">
        <v>255</v>
      </c>
      <c r="L35" s="105"/>
      <c r="M35" s="105"/>
      <c r="N35" s="105"/>
      <c r="O35" s="105"/>
    </row>
    <row r="36" spans="8:15" ht="12.75">
      <c r="H36" s="139"/>
      <c r="K36" s="105" t="s">
        <v>256</v>
      </c>
      <c r="L36" s="105"/>
      <c r="M36" s="105"/>
      <c r="N36" s="105"/>
      <c r="O36" s="105"/>
    </row>
    <row r="37" spans="1:15" ht="12.75">
      <c r="A37" s="103"/>
      <c r="G37" s="139"/>
      <c r="H37" s="139"/>
      <c r="I37" s="101" t="s">
        <v>257</v>
      </c>
      <c r="K37" s="139"/>
      <c r="L37" s="139"/>
      <c r="M37" s="139"/>
      <c r="N37" s="139"/>
      <c r="O37" s="139"/>
    </row>
    <row r="38" spans="1:12" ht="20.25">
      <c r="A38" s="140" t="s">
        <v>258</v>
      </c>
      <c r="B38" s="140"/>
      <c r="C38" s="140"/>
      <c r="G38" s="139"/>
      <c r="H38" s="139"/>
      <c r="K38" s="111" t="s">
        <v>259</v>
      </c>
      <c r="L38" s="111"/>
    </row>
    <row r="39" spans="1:15" ht="20.25">
      <c r="A39" s="141" t="s">
        <v>260</v>
      </c>
      <c r="B39" s="140"/>
      <c r="C39" s="140"/>
      <c r="D39" s="142"/>
      <c r="E39" s="142"/>
      <c r="F39" s="142"/>
      <c r="G39" s="143"/>
      <c r="H39" s="139"/>
      <c r="I39" s="122" t="s">
        <v>261</v>
      </c>
      <c r="J39" s="105"/>
      <c r="K39" s="105"/>
      <c r="L39" s="105"/>
      <c r="M39" s="105"/>
      <c r="N39" s="81" t="s">
        <v>430</v>
      </c>
      <c r="O39" s="81"/>
    </row>
    <row r="40" spans="1:8" ht="20.25">
      <c r="A40" s="140"/>
      <c r="B40" s="140"/>
      <c r="C40" s="140"/>
      <c r="G40" s="139"/>
      <c r="H40" s="139"/>
    </row>
    <row r="41" spans="1:8" ht="12.75">
      <c r="A41" s="103"/>
      <c r="G41" s="139"/>
      <c r="H41" s="139"/>
    </row>
    <row r="42" ht="12.75">
      <c r="A42" s="103"/>
    </row>
    <row r="48" ht="12.75">
      <c r="A48" s="103"/>
    </row>
    <row r="52" ht="12.75">
      <c r="A52" s="103"/>
    </row>
    <row r="53" ht="12.75">
      <c r="I53" s="103"/>
    </row>
    <row r="54" ht="12.75">
      <c r="I54" s="103"/>
    </row>
    <row r="55" ht="12.75">
      <c r="I55" s="103"/>
    </row>
    <row r="62" spans="6:9" ht="12.75">
      <c r="F62" s="101"/>
      <c r="I62" s="103"/>
    </row>
    <row r="63" spans="6:9" ht="12.75">
      <c r="F63" s="101"/>
      <c r="I63" s="103"/>
    </row>
    <row r="64" spans="6:9" ht="12.75">
      <c r="F64" s="101"/>
      <c r="I64" s="103"/>
    </row>
    <row r="65" spans="6:9" ht="12.75">
      <c r="F65" s="101"/>
      <c r="I65" s="103"/>
    </row>
    <row r="66" spans="6:9" ht="12.75">
      <c r="F66" s="101"/>
      <c r="I66" s="103"/>
    </row>
    <row r="67" spans="6:9" ht="12.75">
      <c r="F67" s="101"/>
      <c r="I67" s="103"/>
    </row>
    <row r="68" spans="3:9" ht="12.75">
      <c r="C68" s="139"/>
      <c r="D68" s="139"/>
      <c r="E68" s="139"/>
      <c r="F68" s="101"/>
      <c r="I68" s="103"/>
    </row>
    <row r="69" spans="3:9" ht="12.75">
      <c r="C69" s="139"/>
      <c r="D69" s="139"/>
      <c r="E69" s="139"/>
      <c r="F69" s="101"/>
      <c r="I69" s="103"/>
    </row>
    <row r="70" spans="3:9" ht="12.75">
      <c r="C70" s="139"/>
      <c r="D70" s="139"/>
      <c r="E70" s="139"/>
      <c r="F70" s="101"/>
      <c r="I70" s="103"/>
    </row>
    <row r="71" spans="3:6" ht="12.75">
      <c r="C71" s="139"/>
      <c r="D71" s="139"/>
      <c r="E71" s="139"/>
      <c r="F71" s="139"/>
    </row>
    <row r="72" spans="3:6" ht="12.75">
      <c r="C72" s="139"/>
      <c r="D72" s="139"/>
      <c r="E72" s="139"/>
      <c r="F72" s="139"/>
    </row>
    <row r="73" spans="3:6" ht="12.75">
      <c r="C73" s="139"/>
      <c r="D73" s="139"/>
      <c r="E73" s="139"/>
      <c r="F73" s="139"/>
    </row>
    <row r="74" spans="3:6" ht="12.75">
      <c r="C74" s="139"/>
      <c r="D74" s="139"/>
      <c r="E74" s="139"/>
      <c r="F74" s="139"/>
    </row>
    <row r="75" spans="3:6" ht="12.75">
      <c r="C75" s="144"/>
      <c r="D75" s="139"/>
      <c r="E75" s="139"/>
      <c r="F75" s="139"/>
    </row>
    <row r="76" spans="3:6" ht="12.75">
      <c r="C76" s="139"/>
      <c r="D76" s="139"/>
      <c r="E76" s="139"/>
      <c r="F76" s="139"/>
    </row>
    <row r="77" spans="3:6" ht="12.75">
      <c r="C77" s="144"/>
      <c r="D77" s="139"/>
      <c r="E77" s="139"/>
      <c r="F77" s="139"/>
    </row>
    <row r="78" spans="3:6" ht="12.75">
      <c r="C78" s="139"/>
      <c r="D78" s="139"/>
      <c r="E78" s="139"/>
      <c r="F78" s="139"/>
    </row>
    <row r="79" spans="3:6" ht="12.75">
      <c r="C79" s="139"/>
      <c r="D79" s="139"/>
      <c r="E79" s="139"/>
      <c r="F79" s="139"/>
    </row>
    <row r="84" ht="12.75">
      <c r="A84" s="101"/>
    </row>
    <row r="85" ht="12.75">
      <c r="A85" s="101"/>
    </row>
    <row r="86" ht="12.75">
      <c r="A86" s="101"/>
    </row>
    <row r="87" spans="1:3" ht="12.75">
      <c r="A87" s="101"/>
      <c r="C8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O149"/>
  <sheetViews>
    <sheetView zoomScale="80" zoomScaleNormal="80" zoomScalePageLayoutView="0" workbookViewId="0" topLeftCell="A10">
      <selection activeCell="B37" sqref="B37:E37"/>
    </sheetView>
  </sheetViews>
  <sheetFormatPr defaultColWidth="9.140625" defaultRowHeight="12.75"/>
  <cols>
    <col min="1" max="1" width="7.00390625" style="0" customWidth="1"/>
    <col min="2" max="2" width="21.57421875" style="0" customWidth="1"/>
    <col min="3" max="5" width="17.7109375" style="3" customWidth="1"/>
    <col min="6" max="11" width="4.7109375" style="3" customWidth="1"/>
    <col min="12" max="12" width="8.7109375" style="3" customWidth="1"/>
    <col min="13" max="13" width="5.28125" style="50" customWidth="1"/>
    <col min="14" max="14" width="10.00390625" style="76" bestFit="1" customWidth="1"/>
  </cols>
  <sheetData>
    <row r="1" spans="1:13" ht="16.5" customHeight="1">
      <c r="A1" s="505" t="s">
        <v>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</row>
    <row r="2" spans="1:13" ht="30" customHeight="1">
      <c r="A2" s="23"/>
      <c r="B2" s="24"/>
      <c r="C2" s="25"/>
      <c r="D2" s="376" t="s">
        <v>18</v>
      </c>
      <c r="E2" s="25"/>
      <c r="F2" s="24"/>
      <c r="G2" s="24"/>
      <c r="H2" s="24"/>
      <c r="I2" s="24"/>
      <c r="J2" s="24"/>
      <c r="K2" s="24"/>
      <c r="L2" s="24"/>
      <c r="M2" s="65"/>
    </row>
    <row r="3" spans="3:6" ht="24.75" customHeight="1">
      <c r="C3" s="211" t="s">
        <v>280</v>
      </c>
      <c r="D3" s="212"/>
      <c r="E3" s="211"/>
      <c r="F3" s="93"/>
    </row>
    <row r="4" spans="1:8" ht="16.5" customHeight="1">
      <c r="A4" s="10" t="s">
        <v>23</v>
      </c>
      <c r="B4" s="11" t="s">
        <v>323</v>
      </c>
      <c r="C4" s="11"/>
      <c r="D4" s="11"/>
      <c r="E4" s="11"/>
      <c r="F4" s="11"/>
      <c r="G4" s="11"/>
      <c r="H4" s="11"/>
    </row>
    <row r="5" spans="1:5" ht="15.75">
      <c r="A5" s="19" t="s">
        <v>1</v>
      </c>
      <c r="B5" s="20"/>
      <c r="C5" s="506" t="s">
        <v>320</v>
      </c>
      <c r="D5" s="506"/>
      <c r="E5" s="21"/>
    </row>
    <row r="6" spans="1:5" ht="15.75">
      <c r="A6" s="19" t="s">
        <v>2</v>
      </c>
      <c r="B6" s="20"/>
      <c r="C6" s="22" t="s">
        <v>4</v>
      </c>
      <c r="D6" s="21"/>
      <c r="E6" s="21"/>
    </row>
    <row r="7" spans="1:5" ht="15.75">
      <c r="A7" s="19" t="s">
        <v>3</v>
      </c>
      <c r="B7" s="20"/>
      <c r="C7" s="22" t="s">
        <v>45</v>
      </c>
      <c r="D7" s="21"/>
      <c r="E7" s="21"/>
    </row>
    <row r="8" spans="3:14" s="1" customFormat="1" ht="12.75">
      <c r="C8" s="4"/>
      <c r="D8" s="4"/>
      <c r="E8" s="4"/>
      <c r="F8" s="4"/>
      <c r="G8" s="4"/>
      <c r="H8" s="4"/>
      <c r="I8" s="4"/>
      <c r="J8" s="4"/>
      <c r="K8" s="4"/>
      <c r="L8" s="4"/>
      <c r="M8" s="57"/>
      <c r="N8" s="66"/>
    </row>
    <row r="9" spans="1:14" s="1" customFormat="1" ht="12.75" customHeight="1">
      <c r="A9" s="6" t="s">
        <v>19</v>
      </c>
      <c r="B9" s="7"/>
      <c r="C9" s="8"/>
      <c r="D9" s="8"/>
      <c r="E9" s="8"/>
      <c r="F9" s="7"/>
      <c r="G9" s="7"/>
      <c r="H9" s="7"/>
      <c r="I9" s="7"/>
      <c r="J9" s="7"/>
      <c r="K9" s="7"/>
      <c r="L9" s="7"/>
      <c r="M9" s="58"/>
      <c r="N9" s="66"/>
    </row>
    <row r="10" spans="1:14" s="1" customFormat="1" ht="25.5" customHeight="1">
      <c r="A10" s="2" t="s">
        <v>8</v>
      </c>
      <c r="B10" s="18" t="s">
        <v>9</v>
      </c>
      <c r="C10" s="18" t="s">
        <v>5</v>
      </c>
      <c r="D10" s="18" t="s">
        <v>6</v>
      </c>
      <c r="E10" s="18" t="s">
        <v>7</v>
      </c>
      <c r="F10" s="2" t="s">
        <v>38</v>
      </c>
      <c r="G10" s="2" t="s">
        <v>39</v>
      </c>
      <c r="H10" s="2" t="s">
        <v>40</v>
      </c>
      <c r="I10" s="2" t="s">
        <v>41</v>
      </c>
      <c r="J10" s="2" t="s">
        <v>42</v>
      </c>
      <c r="K10" s="2" t="s">
        <v>43</v>
      </c>
      <c r="L10" s="17" t="s">
        <v>10</v>
      </c>
      <c r="M10" s="59" t="s">
        <v>44</v>
      </c>
      <c r="N10" s="66"/>
    </row>
    <row r="11" spans="1:14" s="1" customFormat="1" ht="12.75">
      <c r="A11" s="5" t="s">
        <v>22</v>
      </c>
      <c r="B11" s="137" t="s">
        <v>61</v>
      </c>
      <c r="C11" s="55">
        <v>1958</v>
      </c>
      <c r="D11" s="373">
        <v>4061</v>
      </c>
      <c r="E11" s="55" t="s">
        <v>152</v>
      </c>
      <c r="F11" s="12">
        <v>91</v>
      </c>
      <c r="G11" s="12">
        <v>86</v>
      </c>
      <c r="H11" s="12">
        <v>95</v>
      </c>
      <c r="I11" s="12">
        <v>90</v>
      </c>
      <c r="J11" s="12"/>
      <c r="K11" s="12"/>
      <c r="L11" s="9">
        <f>SUM(F11:K11)</f>
        <v>362</v>
      </c>
      <c r="M11" s="60" t="s">
        <v>266</v>
      </c>
      <c r="N11" s="66"/>
    </row>
    <row r="12" spans="1:14" s="1" customFormat="1" ht="14.25">
      <c r="A12" s="5" t="s">
        <v>23</v>
      </c>
      <c r="B12" s="377" t="s">
        <v>159</v>
      </c>
      <c r="C12" s="378">
        <v>1992</v>
      </c>
      <c r="D12" s="203">
        <v>37964</v>
      </c>
      <c r="E12" s="55" t="s">
        <v>152</v>
      </c>
      <c r="F12" s="12">
        <v>90</v>
      </c>
      <c r="G12" s="12">
        <v>82</v>
      </c>
      <c r="H12" s="12">
        <v>77</v>
      </c>
      <c r="I12" s="12">
        <v>87</v>
      </c>
      <c r="J12" s="12"/>
      <c r="K12" s="12"/>
      <c r="L12" s="9">
        <f>SUM(F12:K12)</f>
        <v>336</v>
      </c>
      <c r="M12" s="60" t="s">
        <v>265</v>
      </c>
      <c r="N12" s="66"/>
    </row>
    <row r="13" spans="1:14" s="1" customFormat="1" ht="12.75">
      <c r="A13" s="5" t="s">
        <v>24</v>
      </c>
      <c r="B13" s="13" t="s">
        <v>388</v>
      </c>
      <c r="C13" s="12">
        <v>1996</v>
      </c>
      <c r="D13" s="12">
        <v>37862</v>
      </c>
      <c r="E13" s="4" t="s">
        <v>349</v>
      </c>
      <c r="F13" s="12">
        <v>82</v>
      </c>
      <c r="G13" s="12">
        <v>81</v>
      </c>
      <c r="H13" s="12">
        <v>87</v>
      </c>
      <c r="I13" s="12">
        <v>76</v>
      </c>
      <c r="J13" s="12"/>
      <c r="K13" s="12"/>
      <c r="L13" s="9">
        <f>SUM(F13:K13)</f>
        <v>326</v>
      </c>
      <c r="M13" s="60" t="s">
        <v>265</v>
      </c>
      <c r="N13" s="66"/>
    </row>
    <row r="14" spans="1:14" s="1" customFormat="1" ht="12.75">
      <c r="A14" s="5" t="s">
        <v>25</v>
      </c>
      <c r="B14" s="365" t="s">
        <v>259</v>
      </c>
      <c r="C14" s="4">
        <v>1994</v>
      </c>
      <c r="D14" s="4">
        <v>31673</v>
      </c>
      <c r="E14" s="4" t="s">
        <v>352</v>
      </c>
      <c r="F14" s="12">
        <v>82</v>
      </c>
      <c r="G14" s="12">
        <v>78</v>
      </c>
      <c r="H14" s="12">
        <v>84</v>
      </c>
      <c r="I14" s="12">
        <v>82</v>
      </c>
      <c r="J14" s="12"/>
      <c r="K14" s="12"/>
      <c r="L14" s="9">
        <f>SUM(F14:K14)</f>
        <v>326</v>
      </c>
      <c r="M14" s="60" t="s">
        <v>265</v>
      </c>
      <c r="N14" s="66"/>
    </row>
    <row r="15" spans="1:14" s="1" customFormat="1" ht="12.75">
      <c r="A15" s="5" t="s">
        <v>26</v>
      </c>
      <c r="B15" s="137" t="s">
        <v>156</v>
      </c>
      <c r="C15" s="55">
        <v>1990</v>
      </c>
      <c r="D15" s="155" t="s">
        <v>102</v>
      </c>
      <c r="E15" s="110" t="s">
        <v>53</v>
      </c>
      <c r="F15" s="12">
        <v>74</v>
      </c>
      <c r="G15" s="12">
        <v>84</v>
      </c>
      <c r="H15" s="12">
        <v>75</v>
      </c>
      <c r="I15" s="12">
        <v>77</v>
      </c>
      <c r="J15" s="12"/>
      <c r="K15" s="12"/>
      <c r="L15" s="9">
        <f>SUM(F15:K15)</f>
        <v>310</v>
      </c>
      <c r="M15" s="60"/>
      <c r="N15" s="66"/>
    </row>
    <row r="16" spans="1:14" s="1" customFormat="1" ht="12.75">
      <c r="A16" s="5"/>
      <c r="M16" s="57"/>
      <c r="N16" s="66"/>
    </row>
    <row r="17" spans="1:14" s="1" customFormat="1" ht="24.75" customHeight="1">
      <c r="A17" s="6" t="s">
        <v>20</v>
      </c>
      <c r="B17" s="7"/>
      <c r="C17" s="8"/>
      <c r="D17" s="8"/>
      <c r="E17" s="8"/>
      <c r="F17" s="7"/>
      <c r="G17" s="7"/>
      <c r="H17" s="7"/>
      <c r="I17" s="7"/>
      <c r="J17" s="7"/>
      <c r="K17" s="7"/>
      <c r="L17" s="7"/>
      <c r="M17" s="58"/>
      <c r="N17" s="66"/>
    </row>
    <row r="18" spans="1:15" s="1" customFormat="1" ht="25.5" customHeight="1">
      <c r="A18" s="2" t="s">
        <v>8</v>
      </c>
      <c r="B18" s="18" t="s">
        <v>9</v>
      </c>
      <c r="C18" s="18" t="s">
        <v>5</v>
      </c>
      <c r="D18" s="18" t="s">
        <v>6</v>
      </c>
      <c r="E18" s="18" t="s">
        <v>7</v>
      </c>
      <c r="F18" s="2" t="s">
        <v>38</v>
      </c>
      <c r="G18" s="2" t="s">
        <v>39</v>
      </c>
      <c r="H18" s="2" t="s">
        <v>40</v>
      </c>
      <c r="I18" s="2" t="s">
        <v>41</v>
      </c>
      <c r="J18" s="2" t="s">
        <v>42</v>
      </c>
      <c r="K18" s="2" t="s">
        <v>43</v>
      </c>
      <c r="L18" s="17" t="s">
        <v>10</v>
      </c>
      <c r="M18" s="59" t="s">
        <v>44</v>
      </c>
      <c r="N18" s="67" t="s">
        <v>100</v>
      </c>
      <c r="O18" s="27"/>
    </row>
    <row r="19" spans="1:14" s="1" customFormat="1" ht="12.75">
      <c r="A19" s="5" t="s">
        <v>22</v>
      </c>
      <c r="B19" s="137" t="s">
        <v>360</v>
      </c>
      <c r="C19" s="109">
        <v>1970</v>
      </c>
      <c r="D19" s="4">
        <v>29592</v>
      </c>
      <c r="E19" s="4" t="s">
        <v>349</v>
      </c>
      <c r="F19" s="4">
        <v>96</v>
      </c>
      <c r="G19" s="4">
        <v>94</v>
      </c>
      <c r="H19" s="4">
        <v>95</v>
      </c>
      <c r="I19" s="4">
        <v>93</v>
      </c>
      <c r="J19" s="4">
        <v>90</v>
      </c>
      <c r="K19" s="4">
        <v>94</v>
      </c>
      <c r="L19" s="9">
        <f aca="true" t="shared" si="0" ref="L19:L38">SUM(F19:K19)</f>
        <v>562</v>
      </c>
      <c r="M19" s="57" t="s">
        <v>266</v>
      </c>
      <c r="N19" s="66">
        <f aca="true" t="shared" si="1" ref="N19:N38">SUM(F19:I19)</f>
        <v>378</v>
      </c>
    </row>
    <row r="20" spans="1:14" s="1" customFormat="1" ht="12.75">
      <c r="A20" s="5" t="s">
        <v>23</v>
      </c>
      <c r="B20" s="137" t="s">
        <v>48</v>
      </c>
      <c r="C20" s="56">
        <v>1976</v>
      </c>
      <c r="D20" s="203">
        <v>32462</v>
      </c>
      <c r="E20" s="12" t="s">
        <v>97</v>
      </c>
      <c r="F20" s="4">
        <v>92</v>
      </c>
      <c r="G20" s="4">
        <v>94</v>
      </c>
      <c r="H20" s="4">
        <v>93</v>
      </c>
      <c r="I20" s="4">
        <v>95</v>
      </c>
      <c r="J20" s="4">
        <v>95</v>
      </c>
      <c r="K20" s="4">
        <v>89</v>
      </c>
      <c r="L20" s="9">
        <f t="shared" si="0"/>
        <v>558</v>
      </c>
      <c r="M20" s="57" t="s">
        <v>266</v>
      </c>
      <c r="N20" s="66">
        <f t="shared" si="1"/>
        <v>374</v>
      </c>
    </row>
    <row r="21" spans="1:14" s="1" customFormat="1" ht="12.75">
      <c r="A21" s="5" t="s">
        <v>24</v>
      </c>
      <c r="B21" s="137" t="s">
        <v>284</v>
      </c>
      <c r="C21" s="109">
        <v>1957</v>
      </c>
      <c r="D21" s="4">
        <v>32651</v>
      </c>
      <c r="E21" s="4" t="s">
        <v>349</v>
      </c>
      <c r="F21" s="4">
        <v>96</v>
      </c>
      <c r="G21" s="4">
        <v>91</v>
      </c>
      <c r="H21" s="4">
        <v>96</v>
      </c>
      <c r="I21" s="4">
        <v>92</v>
      </c>
      <c r="J21" s="4">
        <v>89</v>
      </c>
      <c r="K21" s="4">
        <v>94</v>
      </c>
      <c r="L21" s="9">
        <f t="shared" si="0"/>
        <v>558</v>
      </c>
      <c r="M21" s="57" t="s">
        <v>358</v>
      </c>
      <c r="N21" s="66">
        <f t="shared" si="1"/>
        <v>375</v>
      </c>
    </row>
    <row r="22" spans="1:14" s="1" customFormat="1" ht="12.75">
      <c r="A22" s="5" t="s">
        <v>25</v>
      </c>
      <c r="B22" s="137" t="s">
        <v>129</v>
      </c>
      <c r="C22" s="55">
        <v>1935</v>
      </c>
      <c r="D22" s="4">
        <v>1794</v>
      </c>
      <c r="E22" s="4" t="s">
        <v>348</v>
      </c>
      <c r="F22" s="4">
        <v>92</v>
      </c>
      <c r="G22" s="4">
        <v>83</v>
      </c>
      <c r="H22" s="4">
        <v>94</v>
      </c>
      <c r="I22" s="4">
        <v>92</v>
      </c>
      <c r="J22" s="4">
        <v>95</v>
      </c>
      <c r="K22" s="4">
        <v>92</v>
      </c>
      <c r="L22" s="9">
        <f t="shared" si="0"/>
        <v>548</v>
      </c>
      <c r="M22" s="57" t="s">
        <v>358</v>
      </c>
      <c r="N22" s="66">
        <f t="shared" si="1"/>
        <v>361</v>
      </c>
    </row>
    <row r="23" spans="1:14" s="1" customFormat="1" ht="12.75">
      <c r="A23" s="5" t="s">
        <v>26</v>
      </c>
      <c r="B23" s="365" t="s">
        <v>108</v>
      </c>
      <c r="C23" s="14">
        <v>1965</v>
      </c>
      <c r="D23" s="70" t="s">
        <v>389</v>
      </c>
      <c r="E23" s="3" t="s">
        <v>283</v>
      </c>
      <c r="F23" s="4">
        <v>93</v>
      </c>
      <c r="G23" s="4">
        <v>95</v>
      </c>
      <c r="H23" s="4">
        <v>88</v>
      </c>
      <c r="I23" s="4">
        <v>91</v>
      </c>
      <c r="J23" s="4">
        <v>92</v>
      </c>
      <c r="K23" s="4">
        <v>87</v>
      </c>
      <c r="L23" s="9">
        <f t="shared" si="0"/>
        <v>546</v>
      </c>
      <c r="M23" s="57" t="s">
        <v>266</v>
      </c>
      <c r="N23" s="66">
        <f t="shared" si="1"/>
        <v>367</v>
      </c>
    </row>
    <row r="24" spans="1:14" s="1" customFormat="1" ht="12.75">
      <c r="A24" s="5" t="s">
        <v>27</v>
      </c>
      <c r="B24" s="137" t="s">
        <v>51</v>
      </c>
      <c r="C24" s="109">
        <v>1940</v>
      </c>
      <c r="D24" s="4">
        <v>6943</v>
      </c>
      <c r="E24" s="12" t="s">
        <v>97</v>
      </c>
      <c r="F24" s="4">
        <v>90</v>
      </c>
      <c r="G24" s="4">
        <v>88</v>
      </c>
      <c r="H24" s="4">
        <v>94</v>
      </c>
      <c r="I24" s="4">
        <v>93</v>
      </c>
      <c r="J24" s="4">
        <v>88</v>
      </c>
      <c r="K24" s="4">
        <v>92</v>
      </c>
      <c r="L24" s="9">
        <f t="shared" si="0"/>
        <v>545</v>
      </c>
      <c r="M24" s="57" t="s">
        <v>358</v>
      </c>
      <c r="N24" s="66">
        <f t="shared" si="1"/>
        <v>365</v>
      </c>
    </row>
    <row r="25" spans="1:14" s="1" customFormat="1" ht="12.75">
      <c r="A25" s="5" t="s">
        <v>28</v>
      </c>
      <c r="B25" s="365" t="s">
        <v>281</v>
      </c>
      <c r="C25" s="14">
        <v>1964</v>
      </c>
      <c r="D25" s="3">
        <v>38055</v>
      </c>
      <c r="E25" s="3" t="s">
        <v>283</v>
      </c>
      <c r="F25" s="4">
        <v>91</v>
      </c>
      <c r="G25" s="4">
        <v>87</v>
      </c>
      <c r="H25" s="4">
        <v>88</v>
      </c>
      <c r="I25" s="4">
        <v>91</v>
      </c>
      <c r="J25" s="4">
        <v>97</v>
      </c>
      <c r="K25" s="4">
        <v>87</v>
      </c>
      <c r="L25" s="9">
        <f t="shared" si="0"/>
        <v>541</v>
      </c>
      <c r="M25" s="57" t="s">
        <v>265</v>
      </c>
      <c r="N25" s="66">
        <f t="shared" si="1"/>
        <v>357</v>
      </c>
    </row>
    <row r="26" spans="1:14" s="1" customFormat="1" ht="12.75">
      <c r="A26" s="5" t="s">
        <v>29</v>
      </c>
      <c r="B26" s="137" t="s">
        <v>49</v>
      </c>
      <c r="C26" s="55">
        <v>1954</v>
      </c>
      <c r="D26" s="4">
        <v>17785</v>
      </c>
      <c r="E26" s="4" t="s">
        <v>97</v>
      </c>
      <c r="F26" s="4">
        <v>88</v>
      </c>
      <c r="G26" s="4">
        <v>90</v>
      </c>
      <c r="H26" s="4">
        <v>87</v>
      </c>
      <c r="I26" s="4">
        <v>95</v>
      </c>
      <c r="J26" s="4">
        <v>89</v>
      </c>
      <c r="K26" s="4">
        <v>89</v>
      </c>
      <c r="L26" s="9">
        <f t="shared" si="0"/>
        <v>538</v>
      </c>
      <c r="M26" s="57" t="s">
        <v>266</v>
      </c>
      <c r="N26" s="66">
        <f t="shared" si="1"/>
        <v>360</v>
      </c>
    </row>
    <row r="27" spans="1:14" s="1" customFormat="1" ht="12.75">
      <c r="A27" s="5" t="s">
        <v>30</v>
      </c>
      <c r="B27" s="137" t="s">
        <v>134</v>
      </c>
      <c r="C27" s="55">
        <v>1955</v>
      </c>
      <c r="D27" s="12">
        <v>17071</v>
      </c>
      <c r="E27" s="12" t="s">
        <v>355</v>
      </c>
      <c r="F27" s="4">
        <v>92</v>
      </c>
      <c r="G27" s="4">
        <v>88</v>
      </c>
      <c r="H27" s="4">
        <v>94</v>
      </c>
      <c r="I27" s="4">
        <v>88</v>
      </c>
      <c r="J27" s="4">
        <v>90</v>
      </c>
      <c r="K27" s="4">
        <v>86</v>
      </c>
      <c r="L27" s="9">
        <f t="shared" si="0"/>
        <v>538</v>
      </c>
      <c r="M27" s="57" t="s">
        <v>265</v>
      </c>
      <c r="N27" s="66">
        <f t="shared" si="1"/>
        <v>362</v>
      </c>
    </row>
    <row r="28" spans="1:14" s="1" customFormat="1" ht="12.75">
      <c r="A28" s="5" t="s">
        <v>31</v>
      </c>
      <c r="B28" s="367" t="s">
        <v>297</v>
      </c>
      <c r="C28" s="109">
        <v>1969</v>
      </c>
      <c r="D28" s="4" t="s">
        <v>350</v>
      </c>
      <c r="E28" s="4" t="s">
        <v>351</v>
      </c>
      <c r="F28" s="4">
        <v>88</v>
      </c>
      <c r="G28" s="4">
        <v>91</v>
      </c>
      <c r="H28" s="4">
        <v>91</v>
      </c>
      <c r="I28" s="4">
        <v>91</v>
      </c>
      <c r="J28" s="4">
        <v>91</v>
      </c>
      <c r="K28" s="4">
        <v>83</v>
      </c>
      <c r="L28" s="9">
        <f t="shared" si="0"/>
        <v>535</v>
      </c>
      <c r="M28" s="57"/>
      <c r="N28" s="66">
        <f t="shared" si="1"/>
        <v>361</v>
      </c>
    </row>
    <row r="29" spans="1:14" s="1" customFormat="1" ht="12.75">
      <c r="A29" s="5" t="s">
        <v>32</v>
      </c>
      <c r="B29" s="366" t="s">
        <v>344</v>
      </c>
      <c r="C29" s="369">
        <v>1975</v>
      </c>
      <c r="D29" s="4">
        <v>23672</v>
      </c>
      <c r="E29" s="4" t="s">
        <v>349</v>
      </c>
      <c r="F29" s="4">
        <v>89</v>
      </c>
      <c r="G29" s="4">
        <v>88</v>
      </c>
      <c r="H29" s="4">
        <v>91</v>
      </c>
      <c r="I29" s="4">
        <v>87</v>
      </c>
      <c r="J29" s="4">
        <v>91</v>
      </c>
      <c r="K29" s="4">
        <v>88</v>
      </c>
      <c r="L29" s="9">
        <f t="shared" si="0"/>
        <v>534</v>
      </c>
      <c r="M29" s="57" t="s">
        <v>265</v>
      </c>
      <c r="N29" s="66">
        <f t="shared" si="1"/>
        <v>355</v>
      </c>
    </row>
    <row r="30" spans="1:14" s="1" customFormat="1" ht="12.75">
      <c r="A30" s="5" t="s">
        <v>33</v>
      </c>
      <c r="B30" s="137" t="s">
        <v>311</v>
      </c>
      <c r="C30" s="55">
        <v>1949</v>
      </c>
      <c r="D30" s="373">
        <v>2785</v>
      </c>
      <c r="E30" s="56" t="s">
        <v>390</v>
      </c>
      <c r="F30" s="4">
        <v>87</v>
      </c>
      <c r="G30" s="4">
        <v>89</v>
      </c>
      <c r="H30" s="4">
        <v>84</v>
      </c>
      <c r="I30" s="4">
        <v>93</v>
      </c>
      <c r="J30" s="4">
        <v>92</v>
      </c>
      <c r="K30" s="4">
        <v>85</v>
      </c>
      <c r="L30" s="9">
        <f t="shared" si="0"/>
        <v>530</v>
      </c>
      <c r="M30" s="57" t="s">
        <v>266</v>
      </c>
      <c r="N30" s="66">
        <f t="shared" si="1"/>
        <v>353</v>
      </c>
    </row>
    <row r="31" spans="1:14" s="1" customFormat="1" ht="12.75">
      <c r="A31" s="5" t="s">
        <v>34</v>
      </c>
      <c r="B31" s="137" t="s">
        <v>141</v>
      </c>
      <c r="C31" s="55">
        <v>1949</v>
      </c>
      <c r="D31" s="4">
        <v>10640</v>
      </c>
      <c r="E31" s="4" t="s">
        <v>342</v>
      </c>
      <c r="F31" s="107">
        <v>86</v>
      </c>
      <c r="G31" s="107">
        <v>89</v>
      </c>
      <c r="H31" s="107">
        <v>82</v>
      </c>
      <c r="I31" s="107">
        <v>89</v>
      </c>
      <c r="J31" s="107">
        <v>90</v>
      </c>
      <c r="K31" s="107">
        <v>90</v>
      </c>
      <c r="L31" s="9">
        <f t="shared" si="0"/>
        <v>526</v>
      </c>
      <c r="M31" s="57" t="s">
        <v>266</v>
      </c>
      <c r="N31" s="66">
        <f t="shared" si="1"/>
        <v>346</v>
      </c>
    </row>
    <row r="32" spans="1:14" s="1" customFormat="1" ht="12.75">
      <c r="A32" s="5" t="s">
        <v>35</v>
      </c>
      <c r="B32" s="367" t="s">
        <v>175</v>
      </c>
      <c r="C32" s="109">
        <v>1971</v>
      </c>
      <c r="D32" s="4" t="s">
        <v>340</v>
      </c>
      <c r="E32" s="4" t="s">
        <v>341</v>
      </c>
      <c r="F32" s="4">
        <v>84</v>
      </c>
      <c r="G32" s="4">
        <v>87</v>
      </c>
      <c r="H32" s="4">
        <v>85</v>
      </c>
      <c r="I32" s="4">
        <v>86</v>
      </c>
      <c r="J32" s="4">
        <v>88</v>
      </c>
      <c r="K32" s="4">
        <v>91</v>
      </c>
      <c r="L32" s="9">
        <f t="shared" si="0"/>
        <v>521</v>
      </c>
      <c r="M32" s="57" t="s">
        <v>265</v>
      </c>
      <c r="N32" s="66">
        <f t="shared" si="1"/>
        <v>342</v>
      </c>
    </row>
    <row r="33" spans="1:14" s="1" customFormat="1" ht="12.75">
      <c r="A33" s="5" t="s">
        <v>36</v>
      </c>
      <c r="B33" s="137" t="s">
        <v>159</v>
      </c>
      <c r="C33" s="55">
        <v>1972</v>
      </c>
      <c r="D33" s="4">
        <v>37828</v>
      </c>
      <c r="E33" s="109" t="s">
        <v>152</v>
      </c>
      <c r="F33" s="4">
        <v>86</v>
      </c>
      <c r="G33" s="4">
        <v>81</v>
      </c>
      <c r="H33" s="4">
        <v>91</v>
      </c>
      <c r="I33" s="4">
        <v>85</v>
      </c>
      <c r="J33" s="4">
        <v>86</v>
      </c>
      <c r="K33" s="4">
        <v>89</v>
      </c>
      <c r="L33" s="9">
        <f t="shared" si="0"/>
        <v>518</v>
      </c>
      <c r="M33" s="57"/>
      <c r="N33" s="66">
        <f t="shared" si="1"/>
        <v>343</v>
      </c>
    </row>
    <row r="34" spans="1:14" s="1" customFormat="1" ht="12.75">
      <c r="A34" s="5" t="s">
        <v>37</v>
      </c>
      <c r="B34" s="137" t="s">
        <v>57</v>
      </c>
      <c r="C34" s="55">
        <v>1952</v>
      </c>
      <c r="D34" s="374" t="s">
        <v>391</v>
      </c>
      <c r="E34" s="55" t="s">
        <v>152</v>
      </c>
      <c r="F34" s="4">
        <v>84</v>
      </c>
      <c r="G34" s="4">
        <v>84</v>
      </c>
      <c r="H34" s="4">
        <v>90</v>
      </c>
      <c r="I34" s="4">
        <v>84</v>
      </c>
      <c r="J34" s="4">
        <v>87</v>
      </c>
      <c r="K34" s="4">
        <v>88</v>
      </c>
      <c r="L34" s="9">
        <f t="shared" si="0"/>
        <v>517</v>
      </c>
      <c r="M34" s="57" t="s">
        <v>266</v>
      </c>
      <c r="N34" s="66">
        <f t="shared" si="1"/>
        <v>342</v>
      </c>
    </row>
    <row r="35" spans="1:14" s="1" customFormat="1" ht="12.75">
      <c r="A35" s="5" t="s">
        <v>160</v>
      </c>
      <c r="B35" s="159" t="s">
        <v>148</v>
      </c>
      <c r="C35" s="56">
        <v>1978</v>
      </c>
      <c r="D35" s="4" t="s">
        <v>353</v>
      </c>
      <c r="E35" s="4" t="s">
        <v>354</v>
      </c>
      <c r="F35" s="4">
        <v>84</v>
      </c>
      <c r="G35" s="4">
        <v>89</v>
      </c>
      <c r="H35" s="4">
        <v>89</v>
      </c>
      <c r="I35" s="4">
        <v>86</v>
      </c>
      <c r="J35" s="4">
        <v>80</v>
      </c>
      <c r="K35" s="4">
        <v>88</v>
      </c>
      <c r="L35" s="9">
        <f t="shared" si="0"/>
        <v>516</v>
      </c>
      <c r="M35" s="57"/>
      <c r="N35" s="66">
        <f t="shared" si="1"/>
        <v>348</v>
      </c>
    </row>
    <row r="36" spans="1:14" s="1" customFormat="1" ht="12.75">
      <c r="A36" s="5" t="s">
        <v>161</v>
      </c>
      <c r="B36" s="137" t="s">
        <v>96</v>
      </c>
      <c r="C36" s="55">
        <v>1992</v>
      </c>
      <c r="D36" s="160">
        <v>35409</v>
      </c>
      <c r="E36" s="55" t="s">
        <v>98</v>
      </c>
      <c r="F36" s="4">
        <v>85</v>
      </c>
      <c r="G36" s="4">
        <v>84</v>
      </c>
      <c r="H36" s="4">
        <v>86</v>
      </c>
      <c r="I36" s="4">
        <v>88</v>
      </c>
      <c r="J36" s="4">
        <v>87</v>
      </c>
      <c r="K36" s="4">
        <v>84</v>
      </c>
      <c r="L36" s="9">
        <f t="shared" si="0"/>
        <v>514</v>
      </c>
      <c r="M36" s="57" t="s">
        <v>265</v>
      </c>
      <c r="N36" s="66">
        <f t="shared" si="1"/>
        <v>343</v>
      </c>
    </row>
    <row r="37" spans="1:14" s="1" customFormat="1" ht="12.75">
      <c r="A37" s="5" t="s">
        <v>162</v>
      </c>
      <c r="B37" s="365" t="s">
        <v>310</v>
      </c>
      <c r="C37" s="109">
        <v>1946</v>
      </c>
      <c r="D37" s="332" t="s">
        <v>286</v>
      </c>
      <c r="E37" s="109" t="s">
        <v>287</v>
      </c>
      <c r="F37" s="4">
        <v>85</v>
      </c>
      <c r="G37" s="4">
        <v>76</v>
      </c>
      <c r="H37" s="4">
        <v>82</v>
      </c>
      <c r="I37" s="4">
        <v>82</v>
      </c>
      <c r="J37" s="4">
        <v>90</v>
      </c>
      <c r="K37" s="4">
        <v>91</v>
      </c>
      <c r="L37" s="9">
        <f t="shared" si="0"/>
        <v>506</v>
      </c>
      <c r="M37" s="57" t="s">
        <v>392</v>
      </c>
      <c r="N37" s="66">
        <f t="shared" si="1"/>
        <v>325</v>
      </c>
    </row>
    <row r="38" spans="1:14" s="1" customFormat="1" ht="12.75">
      <c r="A38" s="5" t="s">
        <v>181</v>
      </c>
      <c r="B38" s="137" t="s">
        <v>393</v>
      </c>
      <c r="C38" s="55">
        <v>1988</v>
      </c>
      <c r="D38" s="374" t="s">
        <v>102</v>
      </c>
      <c r="E38" s="55" t="s">
        <v>283</v>
      </c>
      <c r="F38" s="4">
        <v>83</v>
      </c>
      <c r="G38" s="4">
        <v>82</v>
      </c>
      <c r="H38" s="4">
        <v>84</v>
      </c>
      <c r="I38" s="4">
        <v>90</v>
      </c>
      <c r="J38" s="4">
        <v>78</v>
      </c>
      <c r="K38" s="4">
        <v>87</v>
      </c>
      <c r="L38" s="9">
        <f t="shared" si="0"/>
        <v>504</v>
      </c>
      <c r="M38" s="57"/>
      <c r="N38" s="66">
        <f t="shared" si="1"/>
        <v>339</v>
      </c>
    </row>
    <row r="39" spans="1:14" s="1" customFormat="1" ht="12.75">
      <c r="A39" s="5"/>
      <c r="F39" s="4"/>
      <c r="G39" s="4"/>
      <c r="H39" s="4"/>
      <c r="I39" s="4"/>
      <c r="J39" s="4"/>
      <c r="K39" s="4"/>
      <c r="L39" s="9"/>
      <c r="M39" s="57"/>
      <c r="N39" s="66"/>
    </row>
    <row r="40" spans="1:14" s="1" customFormat="1" ht="24.75" customHeight="1">
      <c r="A40" s="6" t="s">
        <v>21</v>
      </c>
      <c r="B40" s="28"/>
      <c r="C40" s="8"/>
      <c r="D40" s="4"/>
      <c r="E40" s="12"/>
      <c r="F40" s="7"/>
      <c r="G40" s="7"/>
      <c r="H40" s="7"/>
      <c r="I40" s="7"/>
      <c r="J40" s="7"/>
      <c r="K40" s="7"/>
      <c r="L40" s="7"/>
      <c r="M40" s="58"/>
      <c r="N40" s="66"/>
    </row>
    <row r="41" spans="1:14" s="1" customFormat="1" ht="25.5" customHeight="1">
      <c r="A41" s="2" t="s">
        <v>8</v>
      </c>
      <c r="B41" s="18" t="s">
        <v>17</v>
      </c>
      <c r="C41" s="18" t="s">
        <v>11</v>
      </c>
      <c r="D41" s="18" t="s">
        <v>12</v>
      </c>
      <c r="E41" s="18" t="s">
        <v>13</v>
      </c>
      <c r="F41" s="507" t="s">
        <v>14</v>
      </c>
      <c r="G41" s="507"/>
      <c r="H41" s="507" t="s">
        <v>15</v>
      </c>
      <c r="I41" s="507"/>
      <c r="J41" s="507" t="s">
        <v>16</v>
      </c>
      <c r="K41" s="507"/>
      <c r="L41" s="17" t="s">
        <v>10</v>
      </c>
      <c r="M41" s="59"/>
      <c r="N41" s="66"/>
    </row>
    <row r="42" spans="1:14" s="1" customFormat="1" ht="15">
      <c r="A42" s="5" t="s">
        <v>22</v>
      </c>
      <c r="B42" s="385" t="s">
        <v>364</v>
      </c>
      <c r="C42" s="386" t="s">
        <v>361</v>
      </c>
      <c r="D42" s="58" t="s">
        <v>362</v>
      </c>
      <c r="E42" s="57" t="s">
        <v>363</v>
      </c>
      <c r="F42" s="503">
        <v>378</v>
      </c>
      <c r="G42" s="503"/>
      <c r="H42" s="503">
        <v>375</v>
      </c>
      <c r="I42" s="503"/>
      <c r="J42" s="503">
        <v>355</v>
      </c>
      <c r="K42" s="503"/>
      <c r="L42" s="328">
        <f>SUM(F42:K42)</f>
        <v>1108</v>
      </c>
      <c r="M42" s="57"/>
      <c r="N42" s="66"/>
    </row>
    <row r="43" spans="1:14" s="1" customFormat="1" ht="15">
      <c r="A43" s="5" t="s">
        <v>23</v>
      </c>
      <c r="B43" s="387" t="s">
        <v>53</v>
      </c>
      <c r="C43" s="57" t="s">
        <v>365</v>
      </c>
      <c r="D43" s="57" t="s">
        <v>366</v>
      </c>
      <c r="E43" s="57" t="s">
        <v>367</v>
      </c>
      <c r="F43" s="503">
        <v>374</v>
      </c>
      <c r="G43" s="503"/>
      <c r="H43" s="503">
        <v>365</v>
      </c>
      <c r="I43" s="503"/>
      <c r="J43" s="503">
        <v>360</v>
      </c>
      <c r="K43" s="503"/>
      <c r="L43" s="328">
        <f>SUM(F43:K43)</f>
        <v>1099</v>
      </c>
      <c r="M43" s="57"/>
      <c r="N43" s="66"/>
    </row>
    <row r="44" spans="1:14" s="1" customFormat="1" ht="12.75">
      <c r="A44" s="5" t="s">
        <v>24</v>
      </c>
      <c r="B44" s="389" t="s">
        <v>55</v>
      </c>
      <c r="C44" s="57" t="s">
        <v>395</v>
      </c>
      <c r="D44" s="48" t="s">
        <v>373</v>
      </c>
      <c r="E44" s="57" t="s">
        <v>396</v>
      </c>
      <c r="F44" s="503">
        <v>367</v>
      </c>
      <c r="G44" s="503"/>
      <c r="H44" s="503">
        <v>357</v>
      </c>
      <c r="I44" s="503"/>
      <c r="J44" s="503">
        <v>346</v>
      </c>
      <c r="K44" s="503"/>
      <c r="L44" s="328">
        <f>SUM(F44:K44)</f>
        <v>1070</v>
      </c>
      <c r="M44" s="57"/>
      <c r="N44" s="66"/>
    </row>
    <row r="45" spans="1:14" s="379" customFormat="1" ht="15">
      <c r="A45" s="384" t="s">
        <v>25</v>
      </c>
      <c r="B45" s="385" t="s">
        <v>60</v>
      </c>
      <c r="C45" s="386" t="s">
        <v>368</v>
      </c>
      <c r="D45" s="58" t="s">
        <v>369</v>
      </c>
      <c r="E45" s="57" t="s">
        <v>394</v>
      </c>
      <c r="F45" s="503">
        <v>342</v>
      </c>
      <c r="G45" s="503"/>
      <c r="H45" s="503">
        <v>343</v>
      </c>
      <c r="I45" s="503"/>
      <c r="J45" s="503">
        <v>362</v>
      </c>
      <c r="K45" s="503"/>
      <c r="L45" s="328">
        <f>SUM(F45:K45)</f>
        <v>1047</v>
      </c>
      <c r="M45" s="57"/>
      <c r="N45" s="330"/>
    </row>
    <row r="46" spans="1:14" s="1" customFormat="1" ht="15">
      <c r="A46" s="5" t="s">
        <v>26</v>
      </c>
      <c r="B46" s="145" t="s">
        <v>354</v>
      </c>
      <c r="C46" s="4" t="s">
        <v>374</v>
      </c>
      <c r="D46" s="4" t="s">
        <v>375</v>
      </c>
      <c r="F46" s="504">
        <v>348</v>
      </c>
      <c r="G46" s="504"/>
      <c r="H46" s="504">
        <v>326</v>
      </c>
      <c r="I46" s="504"/>
      <c r="J46" s="504"/>
      <c r="K46" s="504"/>
      <c r="L46" s="9">
        <f>SUM(F46:K46)</f>
        <v>674</v>
      </c>
      <c r="M46" s="4"/>
      <c r="N46" s="66"/>
    </row>
    <row r="47" spans="3:14" s="1" customFormat="1" ht="12.75">
      <c r="C47" s="4"/>
      <c r="D47" s="4"/>
      <c r="E47" s="28" t="s">
        <v>94</v>
      </c>
      <c r="F47" s="4"/>
      <c r="G47" s="4"/>
      <c r="H47" s="4"/>
      <c r="I47" s="4"/>
      <c r="J47" s="4"/>
      <c r="K47" s="4"/>
      <c r="L47" s="4"/>
      <c r="M47" s="57"/>
      <c r="N47" s="66"/>
    </row>
    <row r="48" spans="3:14" s="1" customFormat="1" ht="12.75">
      <c r="C48" s="4"/>
      <c r="D48" s="4"/>
      <c r="E48" s="28" t="s">
        <v>95</v>
      </c>
      <c r="F48" s="4"/>
      <c r="G48" s="4"/>
      <c r="H48" s="4"/>
      <c r="I48" s="109"/>
      <c r="J48" s="109"/>
      <c r="K48" s="109"/>
      <c r="L48" s="109"/>
      <c r="M48" s="57"/>
      <c r="N48" s="66"/>
    </row>
    <row r="49" spans="2:14" s="1" customFormat="1" ht="27.75">
      <c r="B49" s="391" t="s">
        <v>397</v>
      </c>
      <c r="C49" s="392"/>
      <c r="D49" s="392"/>
      <c r="E49" s="392"/>
      <c r="F49" s="392"/>
      <c r="G49" s="392"/>
      <c r="H49" s="392"/>
      <c r="I49" s="393"/>
      <c r="J49" s="394"/>
      <c r="K49" s="395"/>
      <c r="L49" s="393"/>
      <c r="M49" s="396"/>
      <c r="N49" s="397"/>
    </row>
    <row r="50" spans="2:14" s="1" customFormat="1" ht="27.75">
      <c r="B50" s="388" t="s">
        <v>398</v>
      </c>
      <c r="C50" s="392"/>
      <c r="D50" s="392"/>
      <c r="E50" s="380"/>
      <c r="F50" s="392"/>
      <c r="G50" s="392"/>
      <c r="H50" s="392"/>
      <c r="I50" s="394"/>
      <c r="J50" s="395"/>
      <c r="K50" s="394"/>
      <c r="L50" s="393"/>
      <c r="M50" s="396"/>
      <c r="N50" s="397"/>
    </row>
    <row r="51" spans="3:14" s="1" customFormat="1" ht="12.75">
      <c r="C51" s="4"/>
      <c r="D51" s="4"/>
      <c r="F51" s="4"/>
      <c r="G51" s="4"/>
      <c r="H51" s="4"/>
      <c r="I51" s="4"/>
      <c r="J51" s="4"/>
      <c r="K51" s="4"/>
      <c r="L51" s="4"/>
      <c r="M51" s="57"/>
      <c r="N51" s="66"/>
    </row>
    <row r="52" spans="3:14" s="1" customFormat="1" ht="12.75">
      <c r="C52" s="4"/>
      <c r="D52" s="4"/>
      <c r="E52" s="4"/>
      <c r="F52" s="4"/>
      <c r="G52" s="4"/>
      <c r="H52" s="4"/>
      <c r="I52" s="4"/>
      <c r="J52" s="4"/>
      <c r="K52" s="4"/>
      <c r="L52" s="4"/>
      <c r="M52" s="57"/>
      <c r="N52" s="66"/>
    </row>
    <row r="53" spans="3:14" s="1" customFormat="1" ht="12.75">
      <c r="C53" s="4"/>
      <c r="D53" s="4"/>
      <c r="E53" s="4"/>
      <c r="F53" s="4"/>
      <c r="G53" s="4"/>
      <c r="H53" s="4"/>
      <c r="I53" s="4"/>
      <c r="J53" s="4"/>
      <c r="K53" s="4"/>
      <c r="L53" s="4"/>
      <c r="M53" s="57"/>
      <c r="N53" s="66"/>
    </row>
    <row r="54" spans="3:14" s="1" customFormat="1" ht="12.75">
      <c r="C54" s="4"/>
      <c r="D54" s="4"/>
      <c r="E54" s="4"/>
      <c r="F54" s="4"/>
      <c r="G54" s="4"/>
      <c r="H54" s="4"/>
      <c r="I54" s="4"/>
      <c r="J54" s="4"/>
      <c r="K54" s="4"/>
      <c r="L54" s="4"/>
      <c r="M54" s="57"/>
      <c r="N54" s="66"/>
    </row>
    <row r="55" spans="3:14" s="1" customFormat="1" ht="12.75">
      <c r="C55" s="4"/>
      <c r="D55" s="4"/>
      <c r="E55" s="4"/>
      <c r="F55" s="4"/>
      <c r="G55" s="4"/>
      <c r="H55" s="4"/>
      <c r="I55" s="4"/>
      <c r="J55" s="4"/>
      <c r="K55" s="4"/>
      <c r="L55" s="4"/>
      <c r="M55" s="57"/>
      <c r="N55" s="66"/>
    </row>
    <row r="56" spans="3:14" s="1" customFormat="1" ht="12.75">
      <c r="C56" s="4"/>
      <c r="D56" s="4"/>
      <c r="E56" s="4"/>
      <c r="F56" s="4"/>
      <c r="G56" s="4"/>
      <c r="H56" s="4"/>
      <c r="I56" s="4"/>
      <c r="J56" s="4"/>
      <c r="K56" s="4"/>
      <c r="L56" s="4"/>
      <c r="M56" s="57"/>
      <c r="N56" s="66"/>
    </row>
    <row r="57" spans="3:14" s="1" customFormat="1" ht="12.75">
      <c r="C57" s="4"/>
      <c r="D57" s="4"/>
      <c r="E57" s="4"/>
      <c r="F57" s="4"/>
      <c r="G57" s="4"/>
      <c r="H57" s="4"/>
      <c r="I57" s="4"/>
      <c r="J57" s="4"/>
      <c r="K57" s="4"/>
      <c r="L57" s="4"/>
      <c r="M57" s="57"/>
      <c r="N57" s="66"/>
    </row>
    <row r="58" spans="3:14" s="1" customFormat="1" ht="12.75">
      <c r="C58" s="4"/>
      <c r="D58" s="4"/>
      <c r="E58" s="4"/>
      <c r="F58" s="4"/>
      <c r="G58" s="4"/>
      <c r="H58" s="4"/>
      <c r="I58" s="4"/>
      <c r="J58" s="4"/>
      <c r="K58" s="4"/>
      <c r="L58" s="4"/>
      <c r="M58" s="57"/>
      <c r="N58" s="66"/>
    </row>
    <row r="59" spans="3:14" s="1" customFormat="1" ht="12.75">
      <c r="C59" s="4"/>
      <c r="D59" s="4"/>
      <c r="E59" s="4"/>
      <c r="F59" s="4"/>
      <c r="G59" s="4"/>
      <c r="H59" s="4"/>
      <c r="I59" s="4"/>
      <c r="J59" s="4"/>
      <c r="K59" s="4"/>
      <c r="L59" s="4"/>
      <c r="M59" s="57"/>
      <c r="N59" s="66"/>
    </row>
    <row r="60" spans="2:14" s="1" customFormat="1" ht="15.75">
      <c r="B60" s="343"/>
      <c r="C60" s="4"/>
      <c r="D60" s="4"/>
      <c r="E60" s="4"/>
      <c r="F60" s="4"/>
      <c r="G60" s="4"/>
      <c r="H60" s="4"/>
      <c r="I60" s="4"/>
      <c r="J60" s="4"/>
      <c r="K60" s="4"/>
      <c r="L60" s="4"/>
      <c r="M60" s="57"/>
      <c r="N60" s="66"/>
    </row>
    <row r="61" spans="2:14" s="1" customFormat="1" ht="15.75">
      <c r="B61" s="343"/>
      <c r="C61" s="4"/>
      <c r="D61" s="4"/>
      <c r="E61" s="4"/>
      <c r="F61" s="4"/>
      <c r="G61" s="4"/>
      <c r="H61" s="4"/>
      <c r="I61" s="4"/>
      <c r="J61" s="4"/>
      <c r="K61" s="4"/>
      <c r="L61" s="4"/>
      <c r="M61" s="57"/>
      <c r="N61" s="66"/>
    </row>
    <row r="62" spans="3:14" s="1" customFormat="1" ht="12.75">
      <c r="C62" s="4"/>
      <c r="D62" s="4"/>
      <c r="E62" s="4"/>
      <c r="F62" s="4"/>
      <c r="G62" s="4"/>
      <c r="H62" s="4"/>
      <c r="I62" s="4"/>
      <c r="J62" s="4"/>
      <c r="K62" s="4"/>
      <c r="L62" s="4"/>
      <c r="M62" s="57"/>
      <c r="N62" s="66"/>
    </row>
    <row r="63" spans="3:14" s="1" customFormat="1" ht="12.75">
      <c r="C63" s="4"/>
      <c r="D63" s="4"/>
      <c r="E63" s="4"/>
      <c r="F63" s="4"/>
      <c r="G63" s="4"/>
      <c r="H63" s="4"/>
      <c r="I63" s="4"/>
      <c r="J63" s="4"/>
      <c r="K63" s="4"/>
      <c r="L63" s="4"/>
      <c r="M63" s="57"/>
      <c r="N63" s="66"/>
    </row>
    <row r="64" spans="3:14" s="1" customFormat="1" ht="12.75">
      <c r="C64" s="4"/>
      <c r="D64" s="4"/>
      <c r="E64" s="4"/>
      <c r="F64" s="4"/>
      <c r="G64" s="4"/>
      <c r="H64" s="4"/>
      <c r="I64" s="4"/>
      <c r="J64" s="4"/>
      <c r="K64" s="4"/>
      <c r="L64" s="4"/>
      <c r="M64" s="57"/>
      <c r="N64" s="66"/>
    </row>
    <row r="65" spans="3:14" s="1" customFormat="1" ht="12.75">
      <c r="C65" s="4"/>
      <c r="D65" s="4"/>
      <c r="E65" s="4"/>
      <c r="F65" s="4"/>
      <c r="G65" s="4"/>
      <c r="H65" s="4"/>
      <c r="I65" s="4"/>
      <c r="J65" s="4"/>
      <c r="K65" s="4"/>
      <c r="L65" s="4"/>
      <c r="M65" s="57"/>
      <c r="N65" s="66"/>
    </row>
    <row r="66" spans="3:14" s="1" customFormat="1" ht="12.75">
      <c r="C66" s="4"/>
      <c r="D66" s="4"/>
      <c r="E66" s="4"/>
      <c r="F66" s="4"/>
      <c r="G66" s="4"/>
      <c r="H66" s="4"/>
      <c r="I66" s="4"/>
      <c r="J66" s="4"/>
      <c r="K66" s="4"/>
      <c r="L66" s="4"/>
      <c r="M66" s="57"/>
      <c r="N66" s="66"/>
    </row>
    <row r="67" spans="3:14" s="1" customFormat="1" ht="12.75">
      <c r="C67" s="4"/>
      <c r="D67" s="4"/>
      <c r="E67" s="4"/>
      <c r="F67" s="4"/>
      <c r="G67" s="4"/>
      <c r="H67" s="4"/>
      <c r="I67" s="4"/>
      <c r="J67" s="4"/>
      <c r="K67" s="4"/>
      <c r="L67" s="4"/>
      <c r="M67" s="57"/>
      <c r="N67" s="66"/>
    </row>
    <row r="68" spans="3:14" s="1" customFormat="1" ht="12.75">
      <c r="C68" s="4"/>
      <c r="D68" s="4"/>
      <c r="E68" s="4"/>
      <c r="F68" s="4"/>
      <c r="G68" s="4"/>
      <c r="H68" s="4"/>
      <c r="I68" s="4"/>
      <c r="J68" s="4"/>
      <c r="K68" s="4"/>
      <c r="L68" s="4"/>
      <c r="M68" s="57"/>
      <c r="N68" s="66"/>
    </row>
    <row r="69" spans="3:14" s="1" customFormat="1" ht="12.75">
      <c r="C69" s="4"/>
      <c r="D69" s="4"/>
      <c r="E69" s="4"/>
      <c r="F69" s="4"/>
      <c r="G69" s="4"/>
      <c r="H69" s="4"/>
      <c r="I69" s="4"/>
      <c r="J69" s="4"/>
      <c r="K69" s="4"/>
      <c r="L69" s="4"/>
      <c r="M69" s="57"/>
      <c r="N69" s="66"/>
    </row>
    <row r="70" spans="3:14" s="1" customFormat="1" ht="12.75">
      <c r="C70" s="4"/>
      <c r="D70" s="4"/>
      <c r="E70" s="4"/>
      <c r="F70" s="4"/>
      <c r="G70" s="4"/>
      <c r="H70" s="4"/>
      <c r="I70" s="4"/>
      <c r="J70" s="4"/>
      <c r="K70" s="4"/>
      <c r="L70" s="4"/>
      <c r="M70" s="57"/>
      <c r="N70" s="66"/>
    </row>
    <row r="71" spans="3:14" s="1" customFormat="1" ht="12.75">
      <c r="C71" s="4"/>
      <c r="D71" s="4"/>
      <c r="E71" s="4"/>
      <c r="F71" s="4"/>
      <c r="G71" s="4"/>
      <c r="H71" s="4"/>
      <c r="I71" s="4"/>
      <c r="J71" s="4"/>
      <c r="K71" s="4"/>
      <c r="L71" s="4"/>
      <c r="M71" s="57"/>
      <c r="N71" s="66"/>
    </row>
    <row r="72" spans="3:14" s="1" customFormat="1" ht="12.75">
      <c r="C72" s="4"/>
      <c r="D72" s="4"/>
      <c r="E72" s="4"/>
      <c r="F72" s="4"/>
      <c r="G72" s="4"/>
      <c r="H72" s="4"/>
      <c r="I72" s="4"/>
      <c r="J72" s="4"/>
      <c r="K72" s="4"/>
      <c r="L72" s="4"/>
      <c r="M72" s="57"/>
      <c r="N72" s="66"/>
    </row>
    <row r="73" spans="3:14" s="1" customFormat="1" ht="12.75">
      <c r="C73" s="4"/>
      <c r="D73" s="4"/>
      <c r="E73" s="4"/>
      <c r="F73" s="4"/>
      <c r="G73" s="4"/>
      <c r="H73" s="4"/>
      <c r="I73" s="4"/>
      <c r="J73" s="4"/>
      <c r="K73" s="4"/>
      <c r="L73" s="4"/>
      <c r="M73" s="57"/>
      <c r="N73" s="66"/>
    </row>
    <row r="74" spans="3:14" s="1" customFormat="1" ht="12.75">
      <c r="C74" s="4"/>
      <c r="D74" s="4"/>
      <c r="E74" s="4"/>
      <c r="F74" s="4"/>
      <c r="G74" s="4"/>
      <c r="H74" s="4"/>
      <c r="I74" s="4"/>
      <c r="J74" s="4"/>
      <c r="K74" s="4"/>
      <c r="L74" s="4"/>
      <c r="M74" s="57"/>
      <c r="N74" s="66"/>
    </row>
    <row r="75" spans="3:14" s="1" customFormat="1" ht="12.75">
      <c r="C75" s="4"/>
      <c r="D75" s="4"/>
      <c r="E75" s="4"/>
      <c r="F75" s="4"/>
      <c r="G75" s="4"/>
      <c r="H75" s="4"/>
      <c r="I75" s="4"/>
      <c r="J75" s="4"/>
      <c r="K75" s="4"/>
      <c r="L75" s="4"/>
      <c r="M75" s="57"/>
      <c r="N75" s="66"/>
    </row>
    <row r="76" spans="3:14" s="1" customFormat="1" ht="12.75">
      <c r="C76" s="4"/>
      <c r="D76" s="4"/>
      <c r="E76" s="4"/>
      <c r="F76" s="4"/>
      <c r="G76" s="4"/>
      <c r="H76" s="4"/>
      <c r="I76" s="4"/>
      <c r="J76" s="4"/>
      <c r="K76" s="4"/>
      <c r="L76" s="4"/>
      <c r="M76" s="57"/>
      <c r="N76" s="66"/>
    </row>
    <row r="77" spans="3:14" s="1" customFormat="1" ht="12.75">
      <c r="C77" s="4"/>
      <c r="D77" s="4"/>
      <c r="E77" s="4"/>
      <c r="F77" s="4"/>
      <c r="G77" s="4"/>
      <c r="H77" s="4"/>
      <c r="I77" s="4"/>
      <c r="J77" s="4"/>
      <c r="K77" s="4"/>
      <c r="L77" s="4"/>
      <c r="M77" s="57"/>
      <c r="N77" s="66"/>
    </row>
    <row r="78" spans="3:14" s="1" customFormat="1" ht="12.75">
      <c r="C78" s="4"/>
      <c r="D78" s="4"/>
      <c r="E78" s="4"/>
      <c r="F78" s="4"/>
      <c r="G78" s="4"/>
      <c r="H78" s="4"/>
      <c r="I78" s="4"/>
      <c r="J78" s="4"/>
      <c r="K78" s="4"/>
      <c r="L78" s="4"/>
      <c r="M78" s="57"/>
      <c r="N78" s="66"/>
    </row>
    <row r="79" spans="3:14" s="1" customFormat="1" ht="12.75">
      <c r="C79" s="4"/>
      <c r="D79" s="4"/>
      <c r="E79" s="4"/>
      <c r="F79" s="4"/>
      <c r="G79" s="4"/>
      <c r="H79" s="4"/>
      <c r="I79" s="4"/>
      <c r="J79" s="4"/>
      <c r="K79" s="4"/>
      <c r="L79" s="4"/>
      <c r="M79" s="57"/>
      <c r="N79" s="66"/>
    </row>
    <row r="80" spans="3:14" s="1" customFormat="1" ht="12.75">
      <c r="C80" s="4"/>
      <c r="D80" s="4"/>
      <c r="E80" s="4"/>
      <c r="F80" s="4"/>
      <c r="G80" s="4"/>
      <c r="H80" s="4"/>
      <c r="I80" s="4"/>
      <c r="J80" s="4"/>
      <c r="K80" s="4"/>
      <c r="L80" s="4"/>
      <c r="M80" s="57"/>
      <c r="N80" s="66"/>
    </row>
    <row r="81" spans="3:14" s="1" customFormat="1" ht="12.75">
      <c r="C81" s="4"/>
      <c r="D81" s="4"/>
      <c r="E81" s="4"/>
      <c r="F81" s="4"/>
      <c r="G81" s="4"/>
      <c r="H81" s="4"/>
      <c r="I81" s="4"/>
      <c r="J81" s="4"/>
      <c r="K81" s="4"/>
      <c r="L81" s="4"/>
      <c r="M81" s="57"/>
      <c r="N81" s="66"/>
    </row>
    <row r="82" spans="3:14" s="1" customFormat="1" ht="12.75">
      <c r="C82" s="4"/>
      <c r="D82" s="4"/>
      <c r="E82" s="4"/>
      <c r="F82" s="4"/>
      <c r="G82" s="4"/>
      <c r="H82" s="4"/>
      <c r="I82" s="4"/>
      <c r="J82" s="4"/>
      <c r="K82" s="4"/>
      <c r="L82" s="4"/>
      <c r="M82" s="57"/>
      <c r="N82" s="66"/>
    </row>
    <row r="83" spans="3:14" s="1" customFormat="1" ht="12.75">
      <c r="C83" s="4"/>
      <c r="D83" s="4"/>
      <c r="E83" s="4"/>
      <c r="F83" s="4"/>
      <c r="G83" s="4"/>
      <c r="H83" s="4"/>
      <c r="I83" s="4"/>
      <c r="J83" s="4"/>
      <c r="K83" s="4"/>
      <c r="L83" s="4"/>
      <c r="M83" s="57"/>
      <c r="N83" s="66"/>
    </row>
    <row r="84" spans="3:14" s="1" customFormat="1" ht="12.75">
      <c r="C84" s="4"/>
      <c r="D84" s="4"/>
      <c r="E84" s="4"/>
      <c r="F84" s="4"/>
      <c r="G84" s="4"/>
      <c r="H84" s="4"/>
      <c r="I84" s="4"/>
      <c r="J84" s="4"/>
      <c r="K84" s="4"/>
      <c r="L84" s="4"/>
      <c r="M84" s="57"/>
      <c r="N84" s="66"/>
    </row>
    <row r="85" spans="3:14" s="1" customFormat="1" ht="12.75">
      <c r="C85" s="4"/>
      <c r="D85" s="4"/>
      <c r="E85" s="4"/>
      <c r="F85" s="4"/>
      <c r="G85" s="4"/>
      <c r="H85" s="4"/>
      <c r="I85" s="4"/>
      <c r="J85" s="4"/>
      <c r="K85" s="4"/>
      <c r="L85" s="4"/>
      <c r="M85" s="57"/>
      <c r="N85" s="66"/>
    </row>
    <row r="86" spans="3:14" s="1" customFormat="1" ht="12.75">
      <c r="C86" s="4"/>
      <c r="D86" s="4"/>
      <c r="E86" s="4"/>
      <c r="F86" s="4"/>
      <c r="G86" s="4"/>
      <c r="H86" s="4"/>
      <c r="I86" s="4"/>
      <c r="J86" s="4"/>
      <c r="K86" s="4"/>
      <c r="L86" s="4"/>
      <c r="M86" s="57"/>
      <c r="N86" s="66"/>
    </row>
    <row r="87" spans="3:14" s="1" customFormat="1" ht="12.75">
      <c r="C87" s="4"/>
      <c r="D87" s="4"/>
      <c r="E87" s="4"/>
      <c r="F87" s="4"/>
      <c r="G87" s="4"/>
      <c r="H87" s="4"/>
      <c r="I87" s="4"/>
      <c r="J87" s="4"/>
      <c r="K87" s="4"/>
      <c r="L87" s="4"/>
      <c r="M87" s="57"/>
      <c r="N87" s="66"/>
    </row>
    <row r="88" spans="3:14" s="1" customFormat="1" ht="12.75">
      <c r="C88" s="4"/>
      <c r="D88" s="4"/>
      <c r="E88" s="4"/>
      <c r="F88" s="4"/>
      <c r="G88" s="4"/>
      <c r="H88" s="4"/>
      <c r="I88" s="4"/>
      <c r="J88" s="4"/>
      <c r="K88" s="4"/>
      <c r="L88" s="4"/>
      <c r="M88" s="57"/>
      <c r="N88" s="66"/>
    </row>
    <row r="89" spans="3:14" s="1" customFormat="1" ht="12.75">
      <c r="C89" s="4"/>
      <c r="D89" s="4"/>
      <c r="E89" s="4"/>
      <c r="F89" s="4"/>
      <c r="G89" s="4"/>
      <c r="H89" s="4"/>
      <c r="I89" s="4"/>
      <c r="J89" s="4"/>
      <c r="K89" s="4"/>
      <c r="L89" s="4"/>
      <c r="M89" s="57"/>
      <c r="N89" s="66"/>
    </row>
    <row r="90" spans="3:14" s="1" customFormat="1" ht="12.75">
      <c r="C90" s="4"/>
      <c r="D90" s="4"/>
      <c r="E90" s="4"/>
      <c r="F90" s="4"/>
      <c r="G90" s="4"/>
      <c r="H90" s="4"/>
      <c r="I90" s="4"/>
      <c r="J90" s="4"/>
      <c r="K90" s="4"/>
      <c r="L90" s="4"/>
      <c r="M90" s="57"/>
      <c r="N90" s="66"/>
    </row>
    <row r="91" spans="3:14" s="1" customFormat="1" ht="12.75">
      <c r="C91" s="4"/>
      <c r="D91" s="4"/>
      <c r="E91" s="4"/>
      <c r="F91" s="4"/>
      <c r="G91" s="4"/>
      <c r="H91" s="4"/>
      <c r="I91" s="4"/>
      <c r="J91" s="4"/>
      <c r="K91" s="4"/>
      <c r="L91" s="4"/>
      <c r="M91" s="57"/>
      <c r="N91" s="66"/>
    </row>
    <row r="92" spans="3:14" s="1" customFormat="1" ht="12.75">
      <c r="C92" s="4"/>
      <c r="D92" s="4"/>
      <c r="E92" s="4"/>
      <c r="F92" s="4"/>
      <c r="G92" s="4"/>
      <c r="H92" s="4"/>
      <c r="I92" s="4"/>
      <c r="J92" s="4"/>
      <c r="K92" s="4"/>
      <c r="L92" s="4"/>
      <c r="M92" s="57"/>
      <c r="N92" s="66"/>
    </row>
    <row r="93" spans="3:14" s="1" customFormat="1" ht="12.75">
      <c r="C93" s="4"/>
      <c r="D93" s="4"/>
      <c r="E93" s="4"/>
      <c r="F93" s="4"/>
      <c r="G93" s="4"/>
      <c r="H93" s="4"/>
      <c r="I93" s="4"/>
      <c r="J93" s="4"/>
      <c r="K93" s="4"/>
      <c r="L93" s="4"/>
      <c r="M93" s="57"/>
      <c r="N93" s="66"/>
    </row>
    <row r="94" spans="3:14" s="1" customFormat="1" ht="12.75">
      <c r="C94" s="4"/>
      <c r="D94" s="4"/>
      <c r="E94" s="4"/>
      <c r="F94" s="4"/>
      <c r="G94" s="4"/>
      <c r="H94" s="4"/>
      <c r="I94" s="4"/>
      <c r="J94" s="4"/>
      <c r="K94" s="4"/>
      <c r="L94" s="4"/>
      <c r="M94" s="57"/>
      <c r="N94" s="66"/>
    </row>
    <row r="95" spans="3:14" s="1" customFormat="1" ht="12.75">
      <c r="C95" s="4"/>
      <c r="D95" s="4"/>
      <c r="E95" s="4"/>
      <c r="F95" s="4"/>
      <c r="G95" s="4"/>
      <c r="H95" s="4"/>
      <c r="I95" s="4"/>
      <c r="J95" s="4"/>
      <c r="K95" s="4"/>
      <c r="L95" s="4"/>
      <c r="M95" s="57"/>
      <c r="N95" s="66"/>
    </row>
    <row r="96" spans="3:14" s="1" customFormat="1" ht="12.75">
      <c r="C96" s="4"/>
      <c r="D96" s="4"/>
      <c r="E96" s="4"/>
      <c r="F96" s="4"/>
      <c r="G96" s="4"/>
      <c r="H96" s="4"/>
      <c r="I96" s="4"/>
      <c r="J96" s="4"/>
      <c r="K96" s="4"/>
      <c r="L96" s="4"/>
      <c r="M96" s="57"/>
      <c r="N96" s="66"/>
    </row>
    <row r="97" spans="3:14" s="1" customFormat="1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57"/>
      <c r="N97" s="66"/>
    </row>
    <row r="98" spans="3:14" s="1" customFormat="1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57"/>
      <c r="N98" s="66"/>
    </row>
    <row r="99" spans="3:14" s="1" customFormat="1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57"/>
      <c r="N99" s="66"/>
    </row>
    <row r="100" spans="3:14" s="1" customFormat="1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7"/>
      <c r="N100" s="66"/>
    </row>
    <row r="101" spans="3:14" s="1" customFormat="1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57"/>
      <c r="N101" s="66"/>
    </row>
    <row r="102" spans="3:14" s="1" customFormat="1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57"/>
      <c r="N102" s="66"/>
    </row>
    <row r="103" spans="3:14" s="1" customFormat="1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57"/>
      <c r="N103" s="66"/>
    </row>
    <row r="104" spans="3:14" s="1" customFormat="1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57"/>
      <c r="N104" s="66"/>
    </row>
    <row r="105" spans="3:14" s="1" customFormat="1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57"/>
      <c r="N105" s="66"/>
    </row>
    <row r="106" spans="3:14" s="1" customFormat="1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57"/>
      <c r="N106" s="66"/>
    </row>
    <row r="107" spans="3:14" s="1" customFormat="1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57"/>
      <c r="N107" s="66"/>
    </row>
    <row r="108" spans="3:14" s="1" customFormat="1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57"/>
      <c r="N108" s="66"/>
    </row>
    <row r="109" spans="3:14" s="1" customFormat="1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57"/>
      <c r="N109" s="66"/>
    </row>
    <row r="110" spans="3:14" s="1" customFormat="1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57"/>
      <c r="N110" s="66"/>
    </row>
    <row r="111" spans="3:14" s="1" customFormat="1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57"/>
      <c r="N111" s="66"/>
    </row>
    <row r="112" spans="3:14" s="1" customFormat="1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57"/>
      <c r="N112" s="66"/>
    </row>
    <row r="113" spans="3:14" s="1" customFormat="1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57"/>
      <c r="N113" s="66"/>
    </row>
    <row r="114" spans="3:14" s="1" customFormat="1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57"/>
      <c r="N114" s="66"/>
    </row>
    <row r="115" spans="3:14" s="1" customFormat="1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57"/>
      <c r="N115" s="66"/>
    </row>
    <row r="116" spans="3:14" s="1" customFormat="1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57"/>
      <c r="N116" s="66"/>
    </row>
    <row r="117" spans="3:14" s="1" customFormat="1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57"/>
      <c r="N117" s="66"/>
    </row>
    <row r="118" spans="3:14" s="1" customFormat="1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57"/>
      <c r="N118" s="66"/>
    </row>
    <row r="119" spans="3:14" s="1" customFormat="1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57"/>
      <c r="N119" s="66"/>
    </row>
    <row r="120" spans="3:14" s="1" customFormat="1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57"/>
      <c r="N120" s="66"/>
    </row>
    <row r="121" spans="3:14" s="1" customFormat="1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57"/>
      <c r="N121" s="66"/>
    </row>
    <row r="122" spans="3:14" s="1" customFormat="1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57"/>
      <c r="N122" s="66"/>
    </row>
    <row r="123" spans="3:14" s="1" customFormat="1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57"/>
      <c r="N123" s="66"/>
    </row>
    <row r="124" spans="3:14" s="1" customFormat="1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57"/>
      <c r="N124" s="66"/>
    </row>
    <row r="125" spans="3:14" s="1" customFormat="1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57"/>
      <c r="N125" s="66"/>
    </row>
    <row r="126" spans="3:14" s="1" customFormat="1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57"/>
      <c r="N126" s="66"/>
    </row>
    <row r="127" spans="3:14" s="1" customFormat="1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57"/>
      <c r="N127" s="66"/>
    </row>
    <row r="128" spans="3:14" s="1" customFormat="1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57"/>
      <c r="N128" s="66"/>
    </row>
    <row r="129" spans="3:14" s="1" customFormat="1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57"/>
      <c r="N129" s="66"/>
    </row>
    <row r="130" spans="3:14" s="1" customFormat="1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57"/>
      <c r="N130" s="66"/>
    </row>
    <row r="131" spans="3:14" s="1" customFormat="1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57"/>
      <c r="N131" s="66"/>
    </row>
    <row r="132" spans="3:14" s="1" customFormat="1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57"/>
      <c r="N132" s="66"/>
    </row>
    <row r="133" spans="3:14" s="1" customFormat="1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57"/>
      <c r="N133" s="66"/>
    </row>
    <row r="134" spans="3:14" s="1" customFormat="1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57"/>
      <c r="N134" s="66"/>
    </row>
    <row r="135" spans="3:14" s="1" customFormat="1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57"/>
      <c r="N135" s="66"/>
    </row>
    <row r="136" spans="3:14" s="1" customFormat="1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57"/>
      <c r="N136" s="66"/>
    </row>
    <row r="137" spans="3:14" s="1" customFormat="1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57"/>
      <c r="N137" s="66"/>
    </row>
    <row r="138" spans="3:14" s="1" customFormat="1" ht="12.7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57"/>
      <c r="N138" s="66"/>
    </row>
    <row r="139" spans="3:14" s="1" customFormat="1" ht="12.7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57"/>
      <c r="N139" s="66"/>
    </row>
    <row r="140" spans="3:14" s="1" customFormat="1" ht="12.7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57"/>
      <c r="N140" s="66"/>
    </row>
    <row r="141" spans="3:14" s="1" customFormat="1" ht="12.7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57"/>
      <c r="N141" s="66"/>
    </row>
    <row r="142" spans="3:14" s="1" customFormat="1" ht="12.7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57"/>
      <c r="N142" s="66"/>
    </row>
    <row r="143" spans="3:14" s="1" customFormat="1" ht="12.7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57"/>
      <c r="N143" s="66"/>
    </row>
    <row r="144" spans="3:14" s="1" customFormat="1" ht="12.7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57"/>
      <c r="N144" s="66"/>
    </row>
    <row r="145" spans="3:14" s="1" customFormat="1" ht="12.7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57"/>
      <c r="N145" s="66"/>
    </row>
    <row r="146" spans="3:14" s="1" customFormat="1" ht="12.7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57"/>
      <c r="N146" s="66"/>
    </row>
    <row r="147" spans="3:14" s="1" customFormat="1" ht="12.7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57"/>
      <c r="N147" s="66"/>
    </row>
    <row r="148" spans="2:14" s="1" customFormat="1" ht="12.75">
      <c r="B148"/>
      <c r="C148" s="3"/>
      <c r="D148" s="3"/>
      <c r="E148" s="3"/>
      <c r="F148" s="4"/>
      <c r="G148" s="4"/>
      <c r="H148" s="4"/>
      <c r="I148" s="4"/>
      <c r="J148" s="4"/>
      <c r="K148" s="4"/>
      <c r="L148" s="4"/>
      <c r="M148" s="57"/>
      <c r="N148" s="66"/>
    </row>
    <row r="149" spans="2:14" s="1" customFormat="1" ht="12.75">
      <c r="B149"/>
      <c r="C149" s="3"/>
      <c r="D149" s="3"/>
      <c r="E149" s="3"/>
      <c r="F149" s="4"/>
      <c r="G149" s="4"/>
      <c r="H149" s="4"/>
      <c r="I149" s="4"/>
      <c r="J149" s="4"/>
      <c r="K149" s="4"/>
      <c r="L149" s="4"/>
      <c r="M149" s="57"/>
      <c r="N149" s="66"/>
    </row>
  </sheetData>
  <sheetProtection/>
  <mergeCells count="20">
    <mergeCell ref="J42:K42"/>
    <mergeCell ref="F45:G45"/>
    <mergeCell ref="H45:I45"/>
    <mergeCell ref="J45:K45"/>
    <mergeCell ref="H43:I43"/>
    <mergeCell ref="J43:K43"/>
    <mergeCell ref="F43:G43"/>
    <mergeCell ref="F42:G42"/>
    <mergeCell ref="H42:I42"/>
    <mergeCell ref="F46:G46"/>
    <mergeCell ref="H46:I46"/>
    <mergeCell ref="J46:K46"/>
    <mergeCell ref="F44:G44"/>
    <mergeCell ref="H44:I44"/>
    <mergeCell ref="J44:K44"/>
    <mergeCell ref="A1:M1"/>
    <mergeCell ref="C5:D5"/>
    <mergeCell ref="F41:G41"/>
    <mergeCell ref="H41:I41"/>
    <mergeCell ref="J41:K41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O143"/>
  <sheetViews>
    <sheetView zoomScale="80" zoomScaleNormal="80" zoomScalePageLayoutView="0" workbookViewId="0" topLeftCell="A7">
      <selection activeCell="B32" sqref="B32:E32"/>
    </sheetView>
  </sheetViews>
  <sheetFormatPr defaultColWidth="9.140625" defaultRowHeight="12.75"/>
  <cols>
    <col min="1" max="1" width="7.00390625" style="0" customWidth="1"/>
    <col min="2" max="2" width="21.57421875" style="0" customWidth="1"/>
    <col min="3" max="5" width="17.7109375" style="3" customWidth="1"/>
    <col min="6" max="11" width="4.7109375" style="3" customWidth="1"/>
    <col min="12" max="12" width="8.7109375" style="3" customWidth="1"/>
    <col min="13" max="13" width="5.28125" style="50" customWidth="1"/>
    <col min="14" max="14" width="9.140625" style="76" customWidth="1"/>
  </cols>
  <sheetData>
    <row r="1" spans="1:13" ht="16.5" customHeight="1">
      <c r="A1" s="505" t="s">
        <v>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</row>
    <row r="2" spans="1:13" ht="30" customHeight="1">
      <c r="A2" s="23"/>
      <c r="B2" s="24"/>
      <c r="C2" s="25"/>
      <c r="D2" s="26" t="s">
        <v>18</v>
      </c>
      <c r="E2" s="25"/>
      <c r="F2" s="24"/>
      <c r="G2" s="24"/>
      <c r="H2" s="24"/>
      <c r="I2" s="24"/>
      <c r="J2" s="24"/>
      <c r="K2" s="24"/>
      <c r="L2" s="24"/>
      <c r="M2" s="65"/>
    </row>
    <row r="3" spans="1:8" ht="16.5" customHeight="1">
      <c r="A3" s="10" t="s">
        <v>24</v>
      </c>
      <c r="B3" s="11" t="s">
        <v>325</v>
      </c>
      <c r="C3" s="11"/>
      <c r="D3" s="11"/>
      <c r="E3" s="11"/>
      <c r="F3" s="11"/>
      <c r="G3" s="11"/>
      <c r="H3" s="11"/>
    </row>
    <row r="4" spans="1:5" ht="15.75">
      <c r="A4" s="19" t="s">
        <v>1</v>
      </c>
      <c r="B4" s="20"/>
      <c r="C4" s="506" t="s">
        <v>324</v>
      </c>
      <c r="D4" s="506"/>
      <c r="E4" s="21"/>
    </row>
    <row r="5" spans="1:5" ht="15.75">
      <c r="A5" s="19" t="s">
        <v>2</v>
      </c>
      <c r="B5" s="20"/>
      <c r="C5" s="22" t="s">
        <v>4</v>
      </c>
      <c r="D5" s="21"/>
      <c r="E5" s="21"/>
    </row>
    <row r="6" spans="1:5" ht="15.75">
      <c r="A6" s="19" t="s">
        <v>3</v>
      </c>
      <c r="B6" s="20"/>
      <c r="C6" s="22" t="s">
        <v>45</v>
      </c>
      <c r="D6" s="21"/>
      <c r="E6" s="21"/>
    </row>
    <row r="7" spans="3:14" s="1" customFormat="1" ht="12.75">
      <c r="C7" s="4"/>
      <c r="D7" s="4"/>
      <c r="E7" s="4"/>
      <c r="F7" s="4"/>
      <c r="G7" s="4"/>
      <c r="H7" s="4"/>
      <c r="I7" s="4"/>
      <c r="J7" s="4"/>
      <c r="K7" s="4"/>
      <c r="L7" s="4"/>
      <c r="M7" s="57"/>
      <c r="N7" s="66"/>
    </row>
    <row r="8" spans="1:14" s="1" customFormat="1" ht="12.75" customHeight="1">
      <c r="A8" s="6" t="s">
        <v>19</v>
      </c>
      <c r="B8" s="7"/>
      <c r="C8" s="8"/>
      <c r="D8" s="8"/>
      <c r="E8" s="8"/>
      <c r="F8" s="7"/>
      <c r="G8" s="7"/>
      <c r="H8" s="7"/>
      <c r="I8" s="7"/>
      <c r="J8" s="7"/>
      <c r="K8" s="7"/>
      <c r="L8" s="7"/>
      <c r="M8" s="58"/>
      <c r="N8" s="66"/>
    </row>
    <row r="9" spans="1:14" s="1" customFormat="1" ht="25.5" customHeight="1">
      <c r="A9" s="2" t="s">
        <v>8</v>
      </c>
      <c r="B9" s="18" t="s">
        <v>9</v>
      </c>
      <c r="C9" s="18" t="s">
        <v>5</v>
      </c>
      <c r="D9" s="18" t="s">
        <v>6</v>
      </c>
      <c r="E9" s="18" t="s">
        <v>7</v>
      </c>
      <c r="F9" s="2" t="s">
        <v>38</v>
      </c>
      <c r="G9" s="2" t="s">
        <v>39</v>
      </c>
      <c r="H9" s="2" t="s">
        <v>40</v>
      </c>
      <c r="I9" s="2" t="s">
        <v>41</v>
      </c>
      <c r="J9" s="2" t="s">
        <v>42</v>
      </c>
      <c r="K9" s="2" t="s">
        <v>43</v>
      </c>
      <c r="L9" s="17" t="s">
        <v>10</v>
      </c>
      <c r="M9" s="59" t="s">
        <v>44</v>
      </c>
      <c r="N9" s="66"/>
    </row>
    <row r="10" spans="1:14" s="1" customFormat="1" ht="12.75">
      <c r="A10" s="5" t="s">
        <v>22</v>
      </c>
      <c r="B10" s="377" t="s">
        <v>179</v>
      </c>
      <c r="C10" s="417">
        <v>1984</v>
      </c>
      <c r="D10" s="417">
        <v>38394</v>
      </c>
      <c r="E10" s="417" t="s">
        <v>97</v>
      </c>
      <c r="F10" s="12">
        <f>17+20+20+16+20</f>
        <v>93</v>
      </c>
      <c r="G10" s="12">
        <f>20+19+18+18+18</f>
        <v>93</v>
      </c>
      <c r="H10" s="12">
        <f>16+17+19+18+19</f>
        <v>89</v>
      </c>
      <c r="I10" s="12">
        <f>17+17+18+17+18</f>
        <v>87</v>
      </c>
      <c r="J10" s="12"/>
      <c r="K10" s="12"/>
      <c r="L10" s="9">
        <f>SUM(F10:K10)</f>
        <v>362</v>
      </c>
      <c r="M10" s="60" t="s">
        <v>266</v>
      </c>
      <c r="N10" s="66"/>
    </row>
    <row r="11" spans="1:14" s="1" customFormat="1" ht="12.75">
      <c r="A11" s="5" t="s">
        <v>23</v>
      </c>
      <c r="B11" s="137" t="s">
        <v>156</v>
      </c>
      <c r="C11" s="55">
        <v>1990</v>
      </c>
      <c r="D11" s="155" t="s">
        <v>417</v>
      </c>
      <c r="E11" s="110" t="s">
        <v>53</v>
      </c>
      <c r="F11" s="12">
        <f>18+19+18+18+18</f>
        <v>91</v>
      </c>
      <c r="G11" s="12">
        <f>17+15+16+14+17</f>
        <v>79</v>
      </c>
      <c r="H11" s="12">
        <f>18+17+16+17+18</f>
        <v>86</v>
      </c>
      <c r="I11" s="12">
        <f>18+16+16+15+16</f>
        <v>81</v>
      </c>
      <c r="J11" s="12"/>
      <c r="K11" s="12"/>
      <c r="L11" s="9">
        <f>SUM(F11:K11)</f>
        <v>337</v>
      </c>
      <c r="M11" s="60" t="s">
        <v>265</v>
      </c>
      <c r="N11" s="66"/>
    </row>
    <row r="12" spans="1:14" s="1" customFormat="1" ht="12.75">
      <c r="A12" s="5" t="s">
        <v>24</v>
      </c>
      <c r="B12" s="13" t="s">
        <v>388</v>
      </c>
      <c r="C12" s="12">
        <v>1996</v>
      </c>
      <c r="D12" s="12">
        <v>37862</v>
      </c>
      <c r="E12" s="4" t="s">
        <v>349</v>
      </c>
      <c r="F12" s="12">
        <f>18+16+16+16+17</f>
        <v>83</v>
      </c>
      <c r="G12" s="12">
        <f>13+17+19+16+15</f>
        <v>80</v>
      </c>
      <c r="H12" s="12">
        <f>14+16+18+12+18</f>
        <v>78</v>
      </c>
      <c r="I12" s="12">
        <f>18+19+16+17+19</f>
        <v>89</v>
      </c>
      <c r="J12" s="12"/>
      <c r="K12" s="12"/>
      <c r="L12" s="9">
        <f>SUM(F12:K12)</f>
        <v>330</v>
      </c>
      <c r="M12" s="60" t="s">
        <v>265</v>
      </c>
      <c r="N12" s="66"/>
    </row>
    <row r="13" spans="1:14" s="1" customFormat="1" ht="12.75">
      <c r="A13" s="5" t="s">
        <v>25</v>
      </c>
      <c r="B13" s="365" t="s">
        <v>259</v>
      </c>
      <c r="C13" s="4">
        <v>1994</v>
      </c>
      <c r="D13" s="4">
        <v>31673</v>
      </c>
      <c r="E13" s="4" t="s">
        <v>352</v>
      </c>
      <c r="F13" s="12">
        <v>78</v>
      </c>
      <c r="G13" s="12">
        <v>75</v>
      </c>
      <c r="H13" s="12">
        <v>85</v>
      </c>
      <c r="I13" s="12">
        <v>71</v>
      </c>
      <c r="J13" s="12"/>
      <c r="K13" s="12"/>
      <c r="L13" s="9">
        <f>SUM(F13:K13)</f>
        <v>309</v>
      </c>
      <c r="M13" s="60"/>
      <c r="N13" s="66"/>
    </row>
    <row r="14" spans="1:14" s="1" customFormat="1" ht="12.75">
      <c r="A14" s="5" t="s">
        <v>26</v>
      </c>
      <c r="B14" s="419" t="s">
        <v>422</v>
      </c>
      <c r="C14" s="420">
        <v>1994</v>
      </c>
      <c r="D14" s="421" t="s">
        <v>423</v>
      </c>
      <c r="E14" s="420" t="s">
        <v>349</v>
      </c>
      <c r="F14" s="12">
        <f>14+13+20+15+19</f>
        <v>81</v>
      </c>
      <c r="G14" s="12">
        <f>17+17+14+15+11</f>
        <v>74</v>
      </c>
      <c r="H14" s="12">
        <f>12+14+15+15+11</f>
        <v>67</v>
      </c>
      <c r="I14" s="12">
        <f>14+12+16+14+15</f>
        <v>71</v>
      </c>
      <c r="J14" s="12"/>
      <c r="K14" s="12"/>
      <c r="L14" s="9">
        <f>SUM(F14:K14)</f>
        <v>293</v>
      </c>
      <c r="M14" s="60"/>
      <c r="N14" s="66"/>
    </row>
    <row r="15" spans="1:14" s="1" customFormat="1" ht="24.75" customHeight="1">
      <c r="A15" s="6" t="s">
        <v>20</v>
      </c>
      <c r="B15" s="7"/>
      <c r="C15" s="8"/>
      <c r="D15" s="8"/>
      <c r="E15" s="8"/>
      <c r="F15" s="7"/>
      <c r="G15" s="7"/>
      <c r="H15" s="7"/>
      <c r="I15" s="7"/>
      <c r="J15" s="7"/>
      <c r="K15" s="7"/>
      <c r="L15" s="7"/>
      <c r="M15" s="58"/>
      <c r="N15" s="66"/>
    </row>
    <row r="16" spans="1:15" s="1" customFormat="1" ht="25.5" customHeight="1">
      <c r="A16" s="2" t="s">
        <v>8</v>
      </c>
      <c r="B16" s="18" t="s">
        <v>9</v>
      </c>
      <c r="C16" s="18" t="s">
        <v>5</v>
      </c>
      <c r="D16" s="18" t="s">
        <v>6</v>
      </c>
      <c r="E16" s="18" t="s">
        <v>7</v>
      </c>
      <c r="F16" s="2" t="s">
        <v>38</v>
      </c>
      <c r="G16" s="2" t="s">
        <v>39</v>
      </c>
      <c r="H16" s="2" t="s">
        <v>40</v>
      </c>
      <c r="I16" s="2" t="s">
        <v>41</v>
      </c>
      <c r="J16" s="2" t="s">
        <v>42</v>
      </c>
      <c r="K16" s="2" t="s">
        <v>43</v>
      </c>
      <c r="L16" s="17" t="s">
        <v>10</v>
      </c>
      <c r="M16" s="59" t="s">
        <v>44</v>
      </c>
      <c r="N16" s="67" t="s">
        <v>100</v>
      </c>
      <c r="O16" s="27"/>
    </row>
    <row r="17" spans="1:14" s="1" customFormat="1" ht="12.75">
      <c r="A17" s="5" t="s">
        <v>22</v>
      </c>
      <c r="B17" s="137" t="s">
        <v>49</v>
      </c>
      <c r="C17" s="55">
        <v>1954</v>
      </c>
      <c r="D17" s="4">
        <v>17785</v>
      </c>
      <c r="E17" s="109" t="s">
        <v>97</v>
      </c>
      <c r="F17" s="4">
        <v>96</v>
      </c>
      <c r="G17" s="4">
        <v>96</v>
      </c>
      <c r="H17" s="4">
        <v>89</v>
      </c>
      <c r="I17" s="4">
        <v>96</v>
      </c>
      <c r="J17" s="4">
        <v>92</v>
      </c>
      <c r="K17" s="4">
        <v>88</v>
      </c>
      <c r="L17" s="9">
        <f aca="true" t="shared" si="0" ref="L17:L32">SUM(F17:K17)</f>
        <v>557</v>
      </c>
      <c r="M17" s="57" t="s">
        <v>358</v>
      </c>
      <c r="N17" s="66">
        <f aca="true" t="shared" si="1" ref="N17:N32">SUM(F17:I17)</f>
        <v>377</v>
      </c>
    </row>
    <row r="18" spans="1:14" s="1" customFormat="1" ht="12.75">
      <c r="A18" s="5" t="s">
        <v>23</v>
      </c>
      <c r="B18" s="137" t="s">
        <v>129</v>
      </c>
      <c r="C18" s="56">
        <v>1935</v>
      </c>
      <c r="D18" s="4">
        <v>1794</v>
      </c>
      <c r="E18" s="4" t="s">
        <v>348</v>
      </c>
      <c r="F18" s="4">
        <f>18+20+18+18+20</f>
        <v>94</v>
      </c>
      <c r="G18" s="4">
        <f>20+17+20+18+19</f>
        <v>94</v>
      </c>
      <c r="H18" s="4">
        <f>18+19+19+20+19</f>
        <v>95</v>
      </c>
      <c r="I18" s="4">
        <f>19+18+19+16+18</f>
        <v>90</v>
      </c>
      <c r="J18" s="4">
        <f>18+19+19+16+19</f>
        <v>91</v>
      </c>
      <c r="K18" s="4">
        <f>18+18+17+18+20</f>
        <v>91</v>
      </c>
      <c r="L18" s="9">
        <f t="shared" si="0"/>
        <v>555</v>
      </c>
      <c r="M18" s="57" t="s">
        <v>427</v>
      </c>
      <c r="N18" s="66">
        <f t="shared" si="1"/>
        <v>373</v>
      </c>
    </row>
    <row r="19" spans="1:14" s="1" customFormat="1" ht="12.75">
      <c r="A19" s="5" t="s">
        <v>24</v>
      </c>
      <c r="B19" s="366" t="s">
        <v>344</v>
      </c>
      <c r="C19" s="369">
        <v>1975</v>
      </c>
      <c r="D19" s="4">
        <v>23672</v>
      </c>
      <c r="E19" s="4" t="s">
        <v>349</v>
      </c>
      <c r="F19" s="4">
        <f>18+19+19+18+19</f>
        <v>93</v>
      </c>
      <c r="G19" s="4">
        <f>18+19+17+19+17</f>
        <v>90</v>
      </c>
      <c r="H19" s="4">
        <f>18+18+18+18+18</f>
        <v>90</v>
      </c>
      <c r="I19" s="4">
        <f>19+18+20+20+18</f>
        <v>95</v>
      </c>
      <c r="J19" s="4">
        <f>19+17+16+18+18</f>
        <v>88</v>
      </c>
      <c r="K19" s="4">
        <f>18+19+19+19+19</f>
        <v>94</v>
      </c>
      <c r="L19" s="9">
        <f t="shared" si="0"/>
        <v>550</v>
      </c>
      <c r="M19" s="57" t="s">
        <v>266</v>
      </c>
      <c r="N19" s="66">
        <f t="shared" si="1"/>
        <v>368</v>
      </c>
    </row>
    <row r="20" spans="1:14" s="1" customFormat="1" ht="12.75">
      <c r="A20" s="5" t="s">
        <v>25</v>
      </c>
      <c r="B20" s="137" t="s">
        <v>360</v>
      </c>
      <c r="C20" s="4">
        <v>1970</v>
      </c>
      <c r="D20" s="4">
        <v>29592</v>
      </c>
      <c r="E20" s="4" t="s">
        <v>349</v>
      </c>
      <c r="F20" s="4">
        <f>18+18+18+18+19</f>
        <v>91</v>
      </c>
      <c r="G20" s="4">
        <f>19+19+19+19+18</f>
        <v>94</v>
      </c>
      <c r="H20" s="4">
        <f>18+19+18+18+17</f>
        <v>90</v>
      </c>
      <c r="I20" s="4">
        <f>18+17+18+19+19</f>
        <v>91</v>
      </c>
      <c r="J20" s="4">
        <f>18+17+20+17+19</f>
        <v>91</v>
      </c>
      <c r="K20" s="4">
        <f>18+18+19+19+19</f>
        <v>93</v>
      </c>
      <c r="L20" s="9">
        <f t="shared" si="0"/>
        <v>550</v>
      </c>
      <c r="M20" s="57" t="s">
        <v>266</v>
      </c>
      <c r="N20" s="66">
        <f t="shared" si="1"/>
        <v>366</v>
      </c>
    </row>
    <row r="21" spans="1:14" s="1" customFormat="1" ht="12.75">
      <c r="A21" s="5" t="s">
        <v>26</v>
      </c>
      <c r="B21" s="137" t="s">
        <v>284</v>
      </c>
      <c r="C21" s="109">
        <v>1957</v>
      </c>
      <c r="D21" s="4">
        <v>32651</v>
      </c>
      <c r="E21" s="4" t="s">
        <v>349</v>
      </c>
      <c r="F21" s="4">
        <f>20+18+18+19+17</f>
        <v>92</v>
      </c>
      <c r="G21" s="4">
        <f>19+18+19+19+18</f>
        <v>93</v>
      </c>
      <c r="H21" s="4">
        <f>20+19+16+16+18</f>
        <v>89</v>
      </c>
      <c r="I21" s="4">
        <f>18+18+19+19+18</f>
        <v>92</v>
      </c>
      <c r="J21" s="4">
        <f>18+17+18+19+18</f>
        <v>90</v>
      </c>
      <c r="K21" s="4">
        <f>18+19+19+18+19</f>
        <v>93</v>
      </c>
      <c r="L21" s="9">
        <f t="shared" si="0"/>
        <v>549</v>
      </c>
      <c r="M21" s="57" t="s">
        <v>266</v>
      </c>
      <c r="N21" s="66">
        <f t="shared" si="1"/>
        <v>366</v>
      </c>
    </row>
    <row r="22" spans="1:14" s="1" customFormat="1" ht="12.75">
      <c r="A22" s="5" t="s">
        <v>27</v>
      </c>
      <c r="B22" s="367" t="s">
        <v>297</v>
      </c>
      <c r="C22" s="109">
        <v>1969</v>
      </c>
      <c r="D22" s="4" t="s">
        <v>350</v>
      </c>
      <c r="E22" s="4" t="s">
        <v>351</v>
      </c>
      <c r="F22" s="4">
        <f>20+17+17+19+20</f>
        <v>93</v>
      </c>
      <c r="G22" s="4">
        <f>19+17+17+20+18</f>
        <v>91</v>
      </c>
      <c r="H22" s="4">
        <f>18+15+17+19+17</f>
        <v>86</v>
      </c>
      <c r="I22" s="4">
        <f>18+17+18+20+20</f>
        <v>93</v>
      </c>
      <c r="J22" s="4">
        <f>19+18+18+17+19</f>
        <v>91</v>
      </c>
      <c r="K22" s="4">
        <f>19+19+18+19+16</f>
        <v>91</v>
      </c>
      <c r="L22" s="9">
        <f t="shared" si="0"/>
        <v>545</v>
      </c>
      <c r="M22" s="57" t="s">
        <v>266</v>
      </c>
      <c r="N22" s="66">
        <f t="shared" si="1"/>
        <v>363</v>
      </c>
    </row>
    <row r="23" spans="1:14" s="1" customFormat="1" ht="12.75">
      <c r="A23" s="5" t="s">
        <v>28</v>
      </c>
      <c r="B23" s="137" t="s">
        <v>51</v>
      </c>
      <c r="C23" s="109">
        <v>1940</v>
      </c>
      <c r="D23" s="4">
        <v>6943</v>
      </c>
      <c r="E23" s="12" t="s">
        <v>97</v>
      </c>
      <c r="F23" s="4">
        <f>17+18+19+19+18</f>
        <v>91</v>
      </c>
      <c r="G23" s="4">
        <f>20+20+19+19+18</f>
        <v>96</v>
      </c>
      <c r="H23" s="4">
        <f>18+18+18+18+18</f>
        <v>90</v>
      </c>
      <c r="I23" s="4">
        <f>18+19+18+18+18</f>
        <v>91</v>
      </c>
      <c r="J23" s="4">
        <f>18+20+17+17+19</f>
        <v>91</v>
      </c>
      <c r="K23" s="4">
        <f>16+19+16+16+18</f>
        <v>85</v>
      </c>
      <c r="L23" s="9">
        <f t="shared" si="0"/>
        <v>544</v>
      </c>
      <c r="M23" s="57" t="s">
        <v>266</v>
      </c>
      <c r="N23" s="66">
        <f t="shared" si="1"/>
        <v>368</v>
      </c>
    </row>
    <row r="24" spans="1:14" s="1" customFormat="1" ht="12.75">
      <c r="A24" s="5" t="s">
        <v>29</v>
      </c>
      <c r="B24" s="137" t="s">
        <v>48</v>
      </c>
      <c r="C24" s="55">
        <v>1976</v>
      </c>
      <c r="D24" s="203">
        <v>32462</v>
      </c>
      <c r="E24" s="12" t="s">
        <v>97</v>
      </c>
      <c r="F24" s="4">
        <f>17+20+19+18+17</f>
        <v>91</v>
      </c>
      <c r="G24" s="4">
        <f>17+19+17+19+15</f>
        <v>87</v>
      </c>
      <c r="H24" s="4">
        <f>17+16+16+18+20</f>
        <v>87</v>
      </c>
      <c r="I24" s="4">
        <f>18+17+19+19+20</f>
        <v>93</v>
      </c>
      <c r="J24" s="4">
        <f>17+18+20+18+20</f>
        <v>93</v>
      </c>
      <c r="K24" s="4">
        <f>18+18+20+19+17</f>
        <v>92</v>
      </c>
      <c r="L24" s="9">
        <f t="shared" si="0"/>
        <v>543</v>
      </c>
      <c r="M24" s="57" t="s">
        <v>265</v>
      </c>
      <c r="N24" s="66">
        <f t="shared" si="1"/>
        <v>358</v>
      </c>
    </row>
    <row r="25" spans="1:14" s="1" customFormat="1" ht="12.75">
      <c r="A25" s="5" t="s">
        <v>30</v>
      </c>
      <c r="B25" s="137" t="s">
        <v>59</v>
      </c>
      <c r="C25" s="55">
        <v>1956</v>
      </c>
      <c r="D25" s="155" t="s">
        <v>416</v>
      </c>
      <c r="E25" s="56" t="s">
        <v>426</v>
      </c>
      <c r="F25" s="4">
        <f>19+15+18+18+20</f>
        <v>90</v>
      </c>
      <c r="G25" s="4">
        <f>16+20+18+18+18</f>
        <v>90</v>
      </c>
      <c r="H25" s="4">
        <f>18+20+17+16+19</f>
        <v>90</v>
      </c>
      <c r="I25" s="4">
        <f>18+17+16+18+18</f>
        <v>87</v>
      </c>
      <c r="J25" s="4">
        <f>17+18+19+19+18</f>
        <v>91</v>
      </c>
      <c r="K25" s="4">
        <f>18+19+17+19+19</f>
        <v>92</v>
      </c>
      <c r="L25" s="9">
        <f t="shared" si="0"/>
        <v>540</v>
      </c>
      <c r="M25" s="57" t="s">
        <v>266</v>
      </c>
      <c r="N25" s="66">
        <f t="shared" si="1"/>
        <v>357</v>
      </c>
    </row>
    <row r="26" spans="1:14" s="1" customFormat="1" ht="12.75">
      <c r="A26" s="5" t="s">
        <v>31</v>
      </c>
      <c r="B26" s="137" t="s">
        <v>134</v>
      </c>
      <c r="C26" s="55">
        <v>1955</v>
      </c>
      <c r="D26" s="12">
        <v>17071</v>
      </c>
      <c r="E26" s="12" t="s">
        <v>355</v>
      </c>
      <c r="F26" s="4">
        <v>87</v>
      </c>
      <c r="G26" s="4">
        <v>87</v>
      </c>
      <c r="H26" s="4">
        <v>92</v>
      </c>
      <c r="I26" s="4">
        <v>89</v>
      </c>
      <c r="J26" s="4">
        <v>89</v>
      </c>
      <c r="K26" s="4">
        <v>88</v>
      </c>
      <c r="L26" s="9">
        <f t="shared" si="0"/>
        <v>532</v>
      </c>
      <c r="M26" s="57" t="s">
        <v>265</v>
      </c>
      <c r="N26" s="66">
        <f t="shared" si="1"/>
        <v>355</v>
      </c>
    </row>
    <row r="27" spans="1:14" s="1" customFormat="1" ht="12.75">
      <c r="A27" s="5" t="s">
        <v>32</v>
      </c>
      <c r="B27" s="137" t="s">
        <v>148</v>
      </c>
      <c r="C27" s="55">
        <v>1978</v>
      </c>
      <c r="D27" s="4" t="s">
        <v>353</v>
      </c>
      <c r="E27" s="4" t="s">
        <v>354</v>
      </c>
      <c r="F27" s="4">
        <f>17+16+18+16+19</f>
        <v>86</v>
      </c>
      <c r="G27" s="4">
        <f>16+16+20+18+16</f>
        <v>86</v>
      </c>
      <c r="H27" s="4">
        <f>17+20+19+20+19</f>
        <v>95</v>
      </c>
      <c r="I27" s="4">
        <f>18+20+19+19+18</f>
        <v>94</v>
      </c>
      <c r="J27" s="4">
        <f>18+17+16+18+16</f>
        <v>85</v>
      </c>
      <c r="K27" s="4">
        <f>18+14+18+18+15</f>
        <v>83</v>
      </c>
      <c r="L27" s="9">
        <f t="shared" si="0"/>
        <v>529</v>
      </c>
      <c r="M27" s="57" t="s">
        <v>265</v>
      </c>
      <c r="N27" s="66">
        <f t="shared" si="1"/>
        <v>361</v>
      </c>
    </row>
    <row r="28" spans="1:14" s="1" customFormat="1" ht="12.75">
      <c r="A28" s="5" t="s">
        <v>33</v>
      </c>
      <c r="B28" s="365" t="s">
        <v>50</v>
      </c>
      <c r="C28" s="109">
        <v>1977</v>
      </c>
      <c r="D28" s="109">
        <v>31241</v>
      </c>
      <c r="E28" s="107" t="s">
        <v>97</v>
      </c>
      <c r="F28" s="4">
        <f>17+18+18+18+18</f>
        <v>89</v>
      </c>
      <c r="G28" s="4">
        <f>17+18+18+19+19</f>
        <v>91</v>
      </c>
      <c r="H28" s="4">
        <f>18+19+18+17+15</f>
        <v>87</v>
      </c>
      <c r="I28" s="4">
        <f>18+15+16+16+16</f>
        <v>81</v>
      </c>
      <c r="J28" s="4">
        <f>16+17+17+17+18</f>
        <v>85</v>
      </c>
      <c r="K28" s="4">
        <f>19+19+16+18+17</f>
        <v>89</v>
      </c>
      <c r="L28" s="9">
        <f t="shared" si="0"/>
        <v>522</v>
      </c>
      <c r="M28" s="57" t="s">
        <v>265</v>
      </c>
      <c r="N28" s="66">
        <f t="shared" si="1"/>
        <v>348</v>
      </c>
    </row>
    <row r="29" spans="1:14" s="1" customFormat="1" ht="12.75">
      <c r="A29" s="5" t="s">
        <v>34</v>
      </c>
      <c r="B29" s="137" t="s">
        <v>316</v>
      </c>
      <c r="C29" s="55">
        <v>1956</v>
      </c>
      <c r="D29" s="155">
        <v>32183</v>
      </c>
      <c r="E29" s="55" t="s">
        <v>62</v>
      </c>
      <c r="F29" s="4">
        <f>17+15+19+17+20</f>
        <v>88</v>
      </c>
      <c r="G29" s="4">
        <f>19+17+17+19+14</f>
        <v>86</v>
      </c>
      <c r="H29" s="4">
        <f>13+18+17+17+18</f>
        <v>83</v>
      </c>
      <c r="I29" s="4">
        <f>11+19+19+19+17</f>
        <v>85</v>
      </c>
      <c r="J29" s="4">
        <f>18+15+19+17+20</f>
        <v>89</v>
      </c>
      <c r="K29" s="4">
        <f>19+20+17+20+14</f>
        <v>90</v>
      </c>
      <c r="L29" s="9">
        <f t="shared" si="0"/>
        <v>521</v>
      </c>
      <c r="M29" s="57" t="s">
        <v>265</v>
      </c>
      <c r="N29" s="66">
        <f t="shared" si="1"/>
        <v>342</v>
      </c>
    </row>
    <row r="30" spans="1:14" s="1" customFormat="1" ht="12.75">
      <c r="A30" s="5" t="s">
        <v>35</v>
      </c>
      <c r="B30" s="365" t="s">
        <v>310</v>
      </c>
      <c r="C30" s="109">
        <v>1946</v>
      </c>
      <c r="D30" s="332" t="s">
        <v>286</v>
      </c>
      <c r="E30" s="109" t="s">
        <v>287</v>
      </c>
      <c r="F30" s="4">
        <f>18+12+15+20+17</f>
        <v>82</v>
      </c>
      <c r="G30" s="4">
        <f>18+18+17+19+18</f>
        <v>90</v>
      </c>
      <c r="H30" s="4">
        <f>17+18+16+16+19</f>
        <v>86</v>
      </c>
      <c r="I30" s="4">
        <f>16+16+18+15+15</f>
        <v>80</v>
      </c>
      <c r="J30" s="4">
        <f>17+14+19+16+18</f>
        <v>84</v>
      </c>
      <c r="K30" s="4">
        <f>13+15+18+16+19</f>
        <v>81</v>
      </c>
      <c r="L30" s="9">
        <f t="shared" si="0"/>
        <v>503</v>
      </c>
      <c r="M30" s="57" t="s">
        <v>399</v>
      </c>
      <c r="N30" s="66">
        <f t="shared" si="1"/>
        <v>338</v>
      </c>
    </row>
    <row r="31" spans="1:14" s="1" customFormat="1" ht="12.75">
      <c r="A31" s="5" t="s">
        <v>36</v>
      </c>
      <c r="B31" s="367" t="s">
        <v>175</v>
      </c>
      <c r="C31" s="109">
        <v>1971</v>
      </c>
      <c r="D31" s="4" t="s">
        <v>340</v>
      </c>
      <c r="E31" s="109" t="s">
        <v>341</v>
      </c>
      <c r="F31" s="4">
        <f>14+17+14+13+13</f>
        <v>71</v>
      </c>
      <c r="G31" s="4">
        <f>10+16+15+19+17</f>
        <v>77</v>
      </c>
      <c r="H31" s="4">
        <f>16+12+18+17+20</f>
        <v>83</v>
      </c>
      <c r="I31" s="4">
        <f>16+17+16+16+16</f>
        <v>81</v>
      </c>
      <c r="J31" s="4">
        <f>15+18+18+17+16</f>
        <v>84</v>
      </c>
      <c r="K31" s="4">
        <f>16+12+18+16+18</f>
        <v>80</v>
      </c>
      <c r="L31" s="9">
        <f t="shared" si="0"/>
        <v>476</v>
      </c>
      <c r="M31" s="57"/>
      <c r="N31" s="66">
        <f t="shared" si="1"/>
        <v>312</v>
      </c>
    </row>
    <row r="32" spans="1:14" s="1" customFormat="1" ht="12.75">
      <c r="A32" s="5" t="s">
        <v>37</v>
      </c>
      <c r="B32" s="137" t="s">
        <v>412</v>
      </c>
      <c r="C32" s="55">
        <v>1959</v>
      </c>
      <c r="D32" s="12" t="s">
        <v>414</v>
      </c>
      <c r="E32" s="203" t="s">
        <v>413</v>
      </c>
      <c r="F32" s="4">
        <f>11+18+17+19+15</f>
        <v>80</v>
      </c>
      <c r="G32" s="4">
        <f>15+15+18+14+16</f>
        <v>78</v>
      </c>
      <c r="H32" s="4">
        <f>15+19+16+18+18</f>
        <v>86</v>
      </c>
      <c r="I32" s="4">
        <f>15+16+15+17+16</f>
        <v>79</v>
      </c>
      <c r="J32" s="4">
        <f>12+13+16+17+16</f>
        <v>74</v>
      </c>
      <c r="K32" s="4">
        <f>15+17+15+14+18</f>
        <v>79</v>
      </c>
      <c r="L32" s="9">
        <f t="shared" si="0"/>
        <v>476</v>
      </c>
      <c r="M32" s="57"/>
      <c r="N32" s="66">
        <f t="shared" si="1"/>
        <v>323</v>
      </c>
    </row>
    <row r="33" spans="1:14" s="1" customFormat="1" ht="24.75" customHeight="1">
      <c r="A33" s="6" t="s">
        <v>21</v>
      </c>
      <c r="B33" s="7"/>
      <c r="C33" s="8"/>
      <c r="D33" s="8"/>
      <c r="E33" s="8"/>
      <c r="F33" s="7"/>
      <c r="G33" s="7"/>
      <c r="H33" s="7"/>
      <c r="I33" s="7"/>
      <c r="J33" s="7"/>
      <c r="K33" s="7"/>
      <c r="L33" s="7"/>
      <c r="M33" s="58"/>
      <c r="N33" s="66"/>
    </row>
    <row r="34" spans="1:14" s="1" customFormat="1" ht="25.5" customHeight="1">
      <c r="A34" s="2" t="s">
        <v>8</v>
      </c>
      <c r="B34" s="18" t="s">
        <v>17</v>
      </c>
      <c r="C34" s="18" t="s">
        <v>11</v>
      </c>
      <c r="D34" s="18" t="s">
        <v>12</v>
      </c>
      <c r="E34" s="18" t="s">
        <v>13</v>
      </c>
      <c r="F34" s="507" t="s">
        <v>14</v>
      </c>
      <c r="G34" s="507"/>
      <c r="H34" s="507" t="s">
        <v>15</v>
      </c>
      <c r="I34" s="507"/>
      <c r="J34" s="507" t="s">
        <v>16</v>
      </c>
      <c r="K34" s="507"/>
      <c r="L34" s="17" t="s">
        <v>10</v>
      </c>
      <c r="M34" s="59"/>
      <c r="N34" s="66"/>
    </row>
    <row r="35" spans="1:14" s="1" customFormat="1" ht="15">
      <c r="A35" s="5" t="s">
        <v>22</v>
      </c>
      <c r="B35" s="387" t="s">
        <v>418</v>
      </c>
      <c r="C35" s="57" t="s">
        <v>420</v>
      </c>
      <c r="D35" s="57" t="s">
        <v>366</v>
      </c>
      <c r="E35" s="57" t="s">
        <v>367</v>
      </c>
      <c r="F35" s="503">
        <v>362</v>
      </c>
      <c r="G35" s="503"/>
      <c r="H35" s="503">
        <v>368</v>
      </c>
      <c r="I35" s="503"/>
      <c r="J35" s="503">
        <v>377</v>
      </c>
      <c r="K35" s="503"/>
      <c r="L35" s="328">
        <f>SUM(F35:K35)</f>
        <v>1107</v>
      </c>
      <c r="M35" s="57"/>
      <c r="N35" s="66"/>
    </row>
    <row r="36" spans="1:14" s="1" customFormat="1" ht="15">
      <c r="A36" s="5" t="s">
        <v>23</v>
      </c>
      <c r="B36" s="385" t="s">
        <v>364</v>
      </c>
      <c r="C36" s="386" t="s">
        <v>361</v>
      </c>
      <c r="D36" s="58" t="s">
        <v>362</v>
      </c>
      <c r="E36" s="57" t="s">
        <v>363</v>
      </c>
      <c r="F36" s="503">
        <v>366</v>
      </c>
      <c r="G36" s="503"/>
      <c r="H36" s="503">
        <v>366</v>
      </c>
      <c r="I36" s="503"/>
      <c r="J36" s="503">
        <v>368</v>
      </c>
      <c r="K36" s="503"/>
      <c r="L36" s="328">
        <f>SUM(F36:K36)</f>
        <v>1100</v>
      </c>
      <c r="M36" s="57"/>
      <c r="N36" s="66"/>
    </row>
    <row r="37" spans="1:14" s="1" customFormat="1" ht="15">
      <c r="A37" s="5" t="s">
        <v>24</v>
      </c>
      <c r="B37" s="387" t="s">
        <v>419</v>
      </c>
      <c r="C37" s="57" t="s">
        <v>428</v>
      </c>
      <c r="D37" s="48" t="s">
        <v>365</v>
      </c>
      <c r="E37" s="57" t="s">
        <v>421</v>
      </c>
      <c r="F37" s="503">
        <v>348</v>
      </c>
      <c r="G37" s="503"/>
      <c r="H37" s="503">
        <v>358</v>
      </c>
      <c r="I37" s="503"/>
      <c r="J37" s="503">
        <v>337</v>
      </c>
      <c r="K37" s="503"/>
      <c r="L37" s="328">
        <f>SUM(F37:K37)</f>
        <v>1043</v>
      </c>
      <c r="M37" s="57"/>
      <c r="N37" s="66"/>
    </row>
    <row r="38" spans="1:14" s="1" customFormat="1" ht="15">
      <c r="A38" s="5" t="s">
        <v>25</v>
      </c>
      <c r="B38" s="145" t="s">
        <v>354</v>
      </c>
      <c r="C38" s="107" t="s">
        <v>374</v>
      </c>
      <c r="D38" s="107" t="s">
        <v>375</v>
      </c>
      <c r="F38" s="504">
        <v>361</v>
      </c>
      <c r="G38" s="504"/>
      <c r="H38" s="504">
        <v>309</v>
      </c>
      <c r="I38" s="504"/>
      <c r="J38" s="504"/>
      <c r="K38" s="504"/>
      <c r="L38" s="9">
        <f>SUM(F38:K38)</f>
        <v>670</v>
      </c>
      <c r="M38" s="57"/>
      <c r="N38" s="66"/>
    </row>
    <row r="39" spans="1:14" s="1" customFormat="1" ht="12.75">
      <c r="A39" s="5" t="s">
        <v>26</v>
      </c>
      <c r="M39" s="57"/>
      <c r="N39" s="66"/>
    </row>
    <row r="40" spans="3:14" s="1" customFormat="1" ht="12.75">
      <c r="C40" s="4"/>
      <c r="D40" s="4"/>
      <c r="E40" s="28" t="s">
        <v>94</v>
      </c>
      <c r="F40" s="504"/>
      <c r="G40" s="504"/>
      <c r="H40" s="504"/>
      <c r="I40" s="504"/>
      <c r="J40" s="504"/>
      <c r="K40" s="504"/>
      <c r="L40" s="9"/>
      <c r="M40" s="57"/>
      <c r="N40" s="66"/>
    </row>
    <row r="41" spans="3:14" s="1" customFormat="1" ht="12.75">
      <c r="C41" s="4"/>
      <c r="D41" s="4"/>
      <c r="E41" s="28" t="s">
        <v>95</v>
      </c>
      <c r="F41" s="4"/>
      <c r="G41" s="4"/>
      <c r="H41" s="4"/>
      <c r="I41" s="4"/>
      <c r="J41" s="4"/>
      <c r="K41" s="4"/>
      <c r="L41" s="4"/>
      <c r="M41" s="57"/>
      <c r="N41" s="66"/>
    </row>
    <row r="42" spans="3:14" s="1" customFormat="1" ht="12.75">
      <c r="C42" s="4"/>
      <c r="D42" s="4"/>
      <c r="E42" s="4"/>
      <c r="F42" s="4"/>
      <c r="G42" s="4"/>
      <c r="H42" s="4"/>
      <c r="I42" s="4"/>
      <c r="J42" s="4"/>
      <c r="K42" s="4"/>
      <c r="L42" s="4"/>
      <c r="M42" s="57"/>
      <c r="N42" s="66"/>
    </row>
    <row r="43" spans="3:14" s="1" customFormat="1" ht="12.75">
      <c r="C43" s="4"/>
      <c r="D43" s="4"/>
      <c r="F43" s="4"/>
      <c r="G43" s="4"/>
      <c r="H43" s="4"/>
      <c r="I43" s="4"/>
      <c r="J43" s="4"/>
      <c r="K43" s="4"/>
      <c r="L43" s="4"/>
      <c r="M43" s="57"/>
      <c r="N43" s="66"/>
    </row>
    <row r="44" spans="3:14" s="1" customFormat="1" ht="12.75">
      <c r="C44" s="4"/>
      <c r="D44" s="4"/>
      <c r="F44" s="4"/>
      <c r="G44" s="4"/>
      <c r="H44" s="4"/>
      <c r="I44" s="4"/>
      <c r="J44" s="4"/>
      <c r="K44" s="4"/>
      <c r="L44" s="4"/>
      <c r="M44" s="57"/>
      <c r="N44" s="66"/>
    </row>
    <row r="45" spans="3:14" s="1" customFormat="1" ht="12.75">
      <c r="C45" s="4"/>
      <c r="D45" s="4"/>
      <c r="E45" s="4"/>
      <c r="F45" s="4"/>
      <c r="G45" s="4"/>
      <c r="H45" s="4"/>
      <c r="I45" s="4"/>
      <c r="J45" s="4"/>
      <c r="K45" s="4"/>
      <c r="L45" s="4"/>
      <c r="M45" s="57"/>
      <c r="N45" s="66"/>
    </row>
    <row r="46" spans="3:14" s="1" customFormat="1" ht="12.75">
      <c r="C46" s="4"/>
      <c r="D46" s="4"/>
      <c r="E46" s="4"/>
      <c r="F46" s="4"/>
      <c r="G46" s="4"/>
      <c r="H46" s="4"/>
      <c r="I46" s="4"/>
      <c r="J46" s="4"/>
      <c r="K46" s="4"/>
      <c r="L46" s="4"/>
      <c r="M46" s="57"/>
      <c r="N46" s="66"/>
    </row>
    <row r="47" spans="3:14" s="1" customFormat="1" ht="12.75">
      <c r="C47" s="4"/>
      <c r="D47" s="4"/>
      <c r="E47" s="4"/>
      <c r="F47" s="4"/>
      <c r="G47" s="4"/>
      <c r="H47" s="4"/>
      <c r="I47" s="4"/>
      <c r="J47" s="4"/>
      <c r="K47" s="4"/>
      <c r="L47" s="4"/>
      <c r="M47" s="57"/>
      <c r="N47" s="66"/>
    </row>
    <row r="48" spans="3:14" s="1" customFormat="1" ht="12.75">
      <c r="C48" s="4"/>
      <c r="D48" s="4"/>
      <c r="E48" s="4"/>
      <c r="F48" s="4"/>
      <c r="G48" s="4"/>
      <c r="H48" s="4"/>
      <c r="I48" s="4"/>
      <c r="J48" s="4"/>
      <c r="K48" s="4"/>
      <c r="L48" s="4"/>
      <c r="M48" s="57"/>
      <c r="N48" s="66"/>
    </row>
    <row r="49" spans="3:14" s="1" customFormat="1" ht="12.75">
      <c r="C49" s="4"/>
      <c r="D49" s="4"/>
      <c r="E49" s="4"/>
      <c r="F49" s="4"/>
      <c r="G49" s="4"/>
      <c r="H49" s="4"/>
      <c r="I49" s="4"/>
      <c r="J49" s="4"/>
      <c r="K49" s="4"/>
      <c r="L49" s="4"/>
      <c r="M49" s="57"/>
      <c r="N49" s="66"/>
    </row>
    <row r="50" spans="3:14" s="1" customFormat="1" ht="12.75">
      <c r="C50" s="4"/>
      <c r="D50" s="4"/>
      <c r="E50" s="4"/>
      <c r="F50" s="4"/>
      <c r="G50" s="4"/>
      <c r="H50" s="4"/>
      <c r="I50" s="4"/>
      <c r="J50" s="4"/>
      <c r="K50" s="4"/>
      <c r="L50" s="4"/>
      <c r="M50" s="57"/>
      <c r="N50" s="66"/>
    </row>
    <row r="51" spans="3:14" s="1" customFormat="1" ht="12.75">
      <c r="C51" s="4"/>
      <c r="D51" s="4"/>
      <c r="E51" s="4"/>
      <c r="F51" s="4"/>
      <c r="G51" s="4"/>
      <c r="H51" s="4"/>
      <c r="I51" s="4"/>
      <c r="J51" s="4"/>
      <c r="K51" s="4"/>
      <c r="L51" s="4"/>
      <c r="M51" s="57"/>
      <c r="N51" s="66"/>
    </row>
    <row r="52" spans="3:14" s="1" customFormat="1" ht="12.75">
      <c r="C52" s="4"/>
      <c r="D52" s="4"/>
      <c r="E52" s="4"/>
      <c r="F52" s="4"/>
      <c r="G52" s="4"/>
      <c r="H52" s="4"/>
      <c r="I52" s="4"/>
      <c r="J52" s="4"/>
      <c r="K52" s="4"/>
      <c r="L52" s="4"/>
      <c r="M52" s="57"/>
      <c r="N52" s="66"/>
    </row>
    <row r="53" spans="3:14" s="1" customFormat="1" ht="12.75">
      <c r="C53" s="4"/>
      <c r="D53" s="4"/>
      <c r="E53" s="4"/>
      <c r="F53" s="4"/>
      <c r="G53" s="4"/>
      <c r="H53" s="4"/>
      <c r="I53" s="4"/>
      <c r="J53" s="4"/>
      <c r="K53" s="4"/>
      <c r="L53" s="4"/>
      <c r="M53" s="57"/>
      <c r="N53" s="66"/>
    </row>
    <row r="54" spans="3:14" s="1" customFormat="1" ht="12.75">
      <c r="C54" s="4"/>
      <c r="D54" s="4"/>
      <c r="E54" s="4"/>
      <c r="F54" s="4"/>
      <c r="G54" s="4"/>
      <c r="H54" s="4"/>
      <c r="I54" s="4"/>
      <c r="J54" s="4"/>
      <c r="K54" s="4"/>
      <c r="L54" s="4"/>
      <c r="M54" s="57"/>
      <c r="N54" s="66"/>
    </row>
    <row r="55" spans="3:14" s="1" customFormat="1" ht="12.75">
      <c r="C55" s="4"/>
      <c r="D55" s="4"/>
      <c r="E55" s="4"/>
      <c r="F55" s="4"/>
      <c r="G55" s="4"/>
      <c r="H55" s="4"/>
      <c r="I55" s="4"/>
      <c r="J55" s="4"/>
      <c r="K55" s="4"/>
      <c r="L55" s="4"/>
      <c r="M55" s="57"/>
      <c r="N55" s="66"/>
    </row>
    <row r="56" spans="3:14" s="1" customFormat="1" ht="12.75">
      <c r="C56" s="4"/>
      <c r="D56" s="4"/>
      <c r="E56" s="4"/>
      <c r="F56" s="4"/>
      <c r="G56" s="4"/>
      <c r="H56" s="4"/>
      <c r="I56" s="4"/>
      <c r="J56" s="4"/>
      <c r="K56" s="4"/>
      <c r="L56" s="4"/>
      <c r="M56" s="57"/>
      <c r="N56" s="66"/>
    </row>
    <row r="57" spans="3:14" s="1" customFormat="1" ht="12.75">
      <c r="C57" s="4"/>
      <c r="D57" s="4"/>
      <c r="E57" s="4"/>
      <c r="F57" s="4"/>
      <c r="G57" s="4"/>
      <c r="H57" s="4"/>
      <c r="I57" s="4"/>
      <c r="J57" s="4"/>
      <c r="K57" s="4"/>
      <c r="L57" s="4"/>
      <c r="M57" s="57"/>
      <c r="N57" s="66"/>
    </row>
    <row r="58" spans="3:14" s="1" customFormat="1" ht="12.75">
      <c r="C58" s="4"/>
      <c r="D58" s="4"/>
      <c r="E58" s="4"/>
      <c r="F58" s="4"/>
      <c r="G58" s="4"/>
      <c r="H58" s="4"/>
      <c r="I58" s="4"/>
      <c r="J58" s="4"/>
      <c r="K58" s="4"/>
      <c r="L58" s="4"/>
      <c r="M58" s="57"/>
      <c r="N58" s="66"/>
    </row>
    <row r="59" spans="3:14" s="1" customFormat="1" ht="12.75">
      <c r="C59" s="4"/>
      <c r="D59" s="4"/>
      <c r="E59" s="4"/>
      <c r="F59" s="4"/>
      <c r="G59" s="4"/>
      <c r="H59" s="4"/>
      <c r="I59" s="4"/>
      <c r="J59" s="4"/>
      <c r="K59" s="4"/>
      <c r="L59" s="4"/>
      <c r="M59" s="57"/>
      <c r="N59" s="66"/>
    </row>
    <row r="60" spans="3:14" s="1" customFormat="1" ht="12.75">
      <c r="C60" s="4"/>
      <c r="D60" s="4"/>
      <c r="E60" s="4"/>
      <c r="F60" s="4"/>
      <c r="G60" s="4"/>
      <c r="H60" s="4"/>
      <c r="I60" s="4"/>
      <c r="J60" s="4"/>
      <c r="K60" s="4"/>
      <c r="L60" s="4"/>
      <c r="M60" s="57"/>
      <c r="N60" s="66"/>
    </row>
    <row r="61" spans="3:14" s="1" customFormat="1" ht="12.75">
      <c r="C61" s="4"/>
      <c r="D61" s="4"/>
      <c r="E61" s="4"/>
      <c r="F61" s="4"/>
      <c r="G61" s="4"/>
      <c r="H61" s="4"/>
      <c r="I61" s="4"/>
      <c r="J61" s="4"/>
      <c r="K61" s="4"/>
      <c r="L61" s="4"/>
      <c r="M61" s="57"/>
      <c r="N61" s="66"/>
    </row>
    <row r="62" spans="3:14" s="1" customFormat="1" ht="12.75">
      <c r="C62" s="4"/>
      <c r="D62" s="4"/>
      <c r="E62" s="4"/>
      <c r="F62" s="4"/>
      <c r="G62" s="4"/>
      <c r="H62" s="4"/>
      <c r="I62" s="4"/>
      <c r="J62" s="4"/>
      <c r="K62" s="4"/>
      <c r="L62" s="4"/>
      <c r="M62" s="57"/>
      <c r="N62" s="66"/>
    </row>
    <row r="63" spans="3:14" s="1" customFormat="1" ht="12.75">
      <c r="C63" s="4"/>
      <c r="D63" s="4"/>
      <c r="E63" s="4"/>
      <c r="F63" s="4"/>
      <c r="G63" s="4"/>
      <c r="H63" s="4"/>
      <c r="I63" s="4"/>
      <c r="J63" s="4"/>
      <c r="K63" s="4"/>
      <c r="L63" s="4"/>
      <c r="M63" s="57"/>
      <c r="N63" s="66"/>
    </row>
    <row r="64" spans="3:14" s="1" customFormat="1" ht="12.75">
      <c r="C64" s="4"/>
      <c r="D64" s="4"/>
      <c r="E64" s="4"/>
      <c r="F64" s="4"/>
      <c r="G64" s="4"/>
      <c r="H64" s="4"/>
      <c r="I64" s="4"/>
      <c r="J64" s="4"/>
      <c r="K64" s="4"/>
      <c r="L64" s="4"/>
      <c r="M64" s="57"/>
      <c r="N64" s="66"/>
    </row>
    <row r="65" spans="3:14" s="1" customFormat="1" ht="12.75">
      <c r="C65" s="4"/>
      <c r="D65" s="4"/>
      <c r="E65" s="4"/>
      <c r="F65" s="4"/>
      <c r="G65" s="4"/>
      <c r="H65" s="4"/>
      <c r="I65" s="4"/>
      <c r="J65" s="4"/>
      <c r="K65" s="4"/>
      <c r="L65" s="4"/>
      <c r="M65" s="57"/>
      <c r="N65" s="66"/>
    </row>
    <row r="66" spans="3:14" s="1" customFormat="1" ht="12.75">
      <c r="C66" s="4"/>
      <c r="D66" s="4"/>
      <c r="E66" s="4"/>
      <c r="F66" s="4"/>
      <c r="G66" s="4"/>
      <c r="H66" s="4"/>
      <c r="I66" s="4"/>
      <c r="J66" s="4"/>
      <c r="K66" s="4"/>
      <c r="L66" s="4"/>
      <c r="M66" s="57"/>
      <c r="N66" s="66"/>
    </row>
    <row r="67" spans="3:14" s="1" customFormat="1" ht="12.75">
      <c r="C67" s="4"/>
      <c r="D67" s="4"/>
      <c r="E67" s="4"/>
      <c r="F67" s="4"/>
      <c r="G67" s="4"/>
      <c r="H67" s="4"/>
      <c r="I67" s="4"/>
      <c r="J67" s="4"/>
      <c r="K67" s="4"/>
      <c r="L67" s="4"/>
      <c r="M67" s="57"/>
      <c r="N67" s="66"/>
    </row>
    <row r="68" spans="3:14" s="1" customFormat="1" ht="12.75">
      <c r="C68" s="4"/>
      <c r="D68" s="4"/>
      <c r="E68" s="4"/>
      <c r="F68" s="4"/>
      <c r="G68" s="4"/>
      <c r="H68" s="4"/>
      <c r="I68" s="4"/>
      <c r="J68" s="4"/>
      <c r="K68" s="4"/>
      <c r="L68" s="4"/>
      <c r="M68" s="57"/>
      <c r="N68" s="66"/>
    </row>
    <row r="69" spans="3:14" s="1" customFormat="1" ht="12.75">
      <c r="C69" s="4"/>
      <c r="D69" s="4"/>
      <c r="E69" s="4"/>
      <c r="F69" s="4"/>
      <c r="G69" s="4"/>
      <c r="H69" s="4"/>
      <c r="I69" s="4"/>
      <c r="J69" s="4"/>
      <c r="K69" s="4"/>
      <c r="L69" s="4"/>
      <c r="M69" s="57"/>
      <c r="N69" s="66"/>
    </row>
    <row r="70" spans="3:14" s="1" customFormat="1" ht="12.75">
      <c r="C70" s="4"/>
      <c r="D70" s="4"/>
      <c r="E70" s="4"/>
      <c r="F70" s="4"/>
      <c r="G70" s="4"/>
      <c r="H70" s="4"/>
      <c r="I70" s="4"/>
      <c r="J70" s="4"/>
      <c r="K70" s="4"/>
      <c r="L70" s="4"/>
      <c r="M70" s="57"/>
      <c r="N70" s="66"/>
    </row>
    <row r="71" spans="3:14" s="1" customFormat="1" ht="12.75">
      <c r="C71" s="4"/>
      <c r="D71" s="4"/>
      <c r="E71" s="4"/>
      <c r="F71" s="4"/>
      <c r="G71" s="4"/>
      <c r="H71" s="4"/>
      <c r="I71" s="4"/>
      <c r="J71" s="4"/>
      <c r="K71" s="4"/>
      <c r="L71" s="4"/>
      <c r="M71" s="57"/>
      <c r="N71" s="66"/>
    </row>
    <row r="72" spans="3:14" s="1" customFormat="1" ht="12.75">
      <c r="C72" s="4"/>
      <c r="D72" s="4"/>
      <c r="E72" s="4"/>
      <c r="F72" s="4"/>
      <c r="G72" s="4"/>
      <c r="H72" s="4"/>
      <c r="I72" s="4"/>
      <c r="J72" s="4"/>
      <c r="K72" s="4"/>
      <c r="L72" s="4"/>
      <c r="M72" s="57"/>
      <c r="N72" s="66"/>
    </row>
    <row r="73" spans="3:14" s="1" customFormat="1" ht="12.75">
      <c r="C73" s="4"/>
      <c r="D73" s="4"/>
      <c r="E73" s="4"/>
      <c r="F73" s="4"/>
      <c r="G73" s="4"/>
      <c r="H73" s="4"/>
      <c r="I73" s="4"/>
      <c r="J73" s="4"/>
      <c r="K73" s="4"/>
      <c r="L73" s="4"/>
      <c r="M73" s="57"/>
      <c r="N73" s="66"/>
    </row>
    <row r="74" spans="3:14" s="1" customFormat="1" ht="12.75">
      <c r="C74" s="4"/>
      <c r="D74" s="4"/>
      <c r="E74" s="4"/>
      <c r="F74" s="4"/>
      <c r="G74" s="4"/>
      <c r="H74" s="4"/>
      <c r="I74" s="4"/>
      <c r="J74" s="4"/>
      <c r="K74" s="4"/>
      <c r="L74" s="4"/>
      <c r="M74" s="57"/>
      <c r="N74" s="66"/>
    </row>
    <row r="75" spans="3:14" s="1" customFormat="1" ht="12.75">
      <c r="C75" s="4"/>
      <c r="D75" s="4"/>
      <c r="E75" s="4"/>
      <c r="F75" s="4"/>
      <c r="G75" s="4"/>
      <c r="H75" s="4"/>
      <c r="I75" s="4"/>
      <c r="J75" s="4"/>
      <c r="K75" s="4"/>
      <c r="L75" s="4"/>
      <c r="M75" s="57"/>
      <c r="N75" s="66"/>
    </row>
    <row r="76" spans="3:14" s="1" customFormat="1" ht="12.75">
      <c r="C76" s="4"/>
      <c r="D76" s="4"/>
      <c r="E76" s="4"/>
      <c r="F76" s="4"/>
      <c r="G76" s="4"/>
      <c r="H76" s="4"/>
      <c r="I76" s="4"/>
      <c r="J76" s="4"/>
      <c r="K76" s="4"/>
      <c r="L76" s="4"/>
      <c r="M76" s="57"/>
      <c r="N76" s="66"/>
    </row>
    <row r="77" spans="3:14" s="1" customFormat="1" ht="12.75">
      <c r="C77" s="4"/>
      <c r="D77" s="4"/>
      <c r="E77" s="4"/>
      <c r="F77" s="4"/>
      <c r="G77" s="4"/>
      <c r="H77" s="4"/>
      <c r="I77" s="4"/>
      <c r="J77" s="4"/>
      <c r="K77" s="4"/>
      <c r="L77" s="4"/>
      <c r="M77" s="57"/>
      <c r="N77" s="66"/>
    </row>
    <row r="78" spans="3:14" s="1" customFormat="1" ht="12.75">
      <c r="C78" s="4"/>
      <c r="D78" s="4"/>
      <c r="E78" s="4"/>
      <c r="F78" s="4"/>
      <c r="G78" s="4"/>
      <c r="H78" s="4"/>
      <c r="I78" s="4"/>
      <c r="J78" s="4"/>
      <c r="K78" s="4"/>
      <c r="L78" s="4"/>
      <c r="M78" s="57"/>
      <c r="N78" s="66"/>
    </row>
    <row r="79" spans="3:14" s="1" customFormat="1" ht="12.75">
      <c r="C79" s="4"/>
      <c r="D79" s="4"/>
      <c r="E79" s="4"/>
      <c r="F79" s="4"/>
      <c r="G79" s="4"/>
      <c r="H79" s="4"/>
      <c r="I79" s="4"/>
      <c r="J79" s="4"/>
      <c r="K79" s="4"/>
      <c r="L79" s="4"/>
      <c r="M79" s="57"/>
      <c r="N79" s="66"/>
    </row>
    <row r="80" spans="3:14" s="1" customFormat="1" ht="12.75">
      <c r="C80" s="4"/>
      <c r="D80" s="4"/>
      <c r="E80" s="4"/>
      <c r="F80" s="4"/>
      <c r="G80" s="4"/>
      <c r="H80" s="4"/>
      <c r="I80" s="4"/>
      <c r="J80" s="4"/>
      <c r="K80" s="4"/>
      <c r="L80" s="4"/>
      <c r="M80" s="57"/>
      <c r="N80" s="66"/>
    </row>
    <row r="81" spans="3:14" s="1" customFormat="1" ht="12.75">
      <c r="C81" s="4"/>
      <c r="D81" s="4"/>
      <c r="E81" s="4"/>
      <c r="F81" s="4"/>
      <c r="G81" s="4"/>
      <c r="H81" s="4"/>
      <c r="I81" s="4"/>
      <c r="J81" s="4"/>
      <c r="K81" s="4"/>
      <c r="L81" s="4"/>
      <c r="M81" s="57"/>
      <c r="N81" s="66"/>
    </row>
    <row r="82" spans="3:14" s="1" customFormat="1" ht="12.75">
      <c r="C82" s="4"/>
      <c r="D82" s="4"/>
      <c r="E82" s="4"/>
      <c r="F82" s="4"/>
      <c r="G82" s="4"/>
      <c r="H82" s="4"/>
      <c r="I82" s="4"/>
      <c r="J82" s="4"/>
      <c r="K82" s="4"/>
      <c r="L82" s="4"/>
      <c r="M82" s="57"/>
      <c r="N82" s="66"/>
    </row>
    <row r="83" spans="3:14" s="1" customFormat="1" ht="12.75">
      <c r="C83" s="4"/>
      <c r="D83" s="4"/>
      <c r="E83" s="4"/>
      <c r="F83" s="4"/>
      <c r="G83" s="4"/>
      <c r="H83" s="4"/>
      <c r="I83" s="4"/>
      <c r="J83" s="4"/>
      <c r="K83" s="4"/>
      <c r="L83" s="4"/>
      <c r="M83" s="57"/>
      <c r="N83" s="66"/>
    </row>
    <row r="84" spans="3:14" s="1" customFormat="1" ht="12.75">
      <c r="C84" s="4"/>
      <c r="D84" s="4"/>
      <c r="E84" s="4"/>
      <c r="F84" s="4"/>
      <c r="G84" s="4"/>
      <c r="H84" s="4"/>
      <c r="I84" s="4"/>
      <c r="J84" s="4"/>
      <c r="K84" s="4"/>
      <c r="L84" s="4"/>
      <c r="M84" s="57"/>
      <c r="N84" s="66"/>
    </row>
    <row r="85" spans="3:14" s="1" customFormat="1" ht="12.75">
      <c r="C85" s="4"/>
      <c r="D85" s="4"/>
      <c r="E85" s="4"/>
      <c r="F85" s="4"/>
      <c r="G85" s="4"/>
      <c r="H85" s="4"/>
      <c r="I85" s="4"/>
      <c r="J85" s="4"/>
      <c r="K85" s="4"/>
      <c r="L85" s="4"/>
      <c r="M85" s="57"/>
      <c r="N85" s="66"/>
    </row>
    <row r="86" spans="3:14" s="1" customFormat="1" ht="12.75">
      <c r="C86" s="4"/>
      <c r="D86" s="4"/>
      <c r="E86" s="4"/>
      <c r="F86" s="4"/>
      <c r="G86" s="4"/>
      <c r="H86" s="4"/>
      <c r="I86" s="4"/>
      <c r="J86" s="4"/>
      <c r="K86" s="4"/>
      <c r="L86" s="4"/>
      <c r="M86" s="57"/>
      <c r="N86" s="66"/>
    </row>
    <row r="87" spans="3:14" s="1" customFormat="1" ht="12.75">
      <c r="C87" s="4"/>
      <c r="D87" s="4"/>
      <c r="E87" s="4"/>
      <c r="F87" s="4"/>
      <c r="G87" s="4"/>
      <c r="H87" s="4"/>
      <c r="I87" s="4"/>
      <c r="J87" s="4"/>
      <c r="K87" s="4"/>
      <c r="L87" s="4"/>
      <c r="M87" s="57"/>
      <c r="N87" s="66"/>
    </row>
    <row r="88" spans="3:14" s="1" customFormat="1" ht="12.75">
      <c r="C88" s="4"/>
      <c r="D88" s="4"/>
      <c r="E88" s="4"/>
      <c r="F88" s="4"/>
      <c r="G88" s="4"/>
      <c r="H88" s="4"/>
      <c r="I88" s="4"/>
      <c r="J88" s="4"/>
      <c r="K88" s="4"/>
      <c r="L88" s="4"/>
      <c r="M88" s="57"/>
      <c r="N88" s="66"/>
    </row>
    <row r="89" spans="3:14" s="1" customFormat="1" ht="12.75">
      <c r="C89" s="4"/>
      <c r="D89" s="4"/>
      <c r="E89" s="4"/>
      <c r="F89" s="4"/>
      <c r="G89" s="4"/>
      <c r="H89" s="4"/>
      <c r="I89" s="4"/>
      <c r="J89" s="4"/>
      <c r="K89" s="4"/>
      <c r="L89" s="4"/>
      <c r="M89" s="57"/>
      <c r="N89" s="66"/>
    </row>
    <row r="90" spans="3:14" s="1" customFormat="1" ht="12.75">
      <c r="C90" s="4"/>
      <c r="D90" s="4"/>
      <c r="E90" s="4"/>
      <c r="F90" s="4"/>
      <c r="G90" s="4"/>
      <c r="H90" s="4"/>
      <c r="I90" s="4"/>
      <c r="J90" s="4"/>
      <c r="K90" s="4"/>
      <c r="L90" s="4"/>
      <c r="M90" s="57"/>
      <c r="N90" s="66"/>
    </row>
    <row r="91" spans="3:14" s="1" customFormat="1" ht="12.75">
      <c r="C91" s="4"/>
      <c r="D91" s="4"/>
      <c r="E91" s="4"/>
      <c r="F91" s="4"/>
      <c r="G91" s="4"/>
      <c r="H91" s="4"/>
      <c r="I91" s="4"/>
      <c r="J91" s="4"/>
      <c r="K91" s="4"/>
      <c r="L91" s="4"/>
      <c r="M91" s="57"/>
      <c r="N91" s="66"/>
    </row>
    <row r="92" spans="3:14" s="1" customFormat="1" ht="12.75">
      <c r="C92" s="4"/>
      <c r="D92" s="4"/>
      <c r="E92" s="4"/>
      <c r="F92" s="4"/>
      <c r="G92" s="4"/>
      <c r="H92" s="4"/>
      <c r="I92" s="4"/>
      <c r="J92" s="4"/>
      <c r="K92" s="4"/>
      <c r="L92" s="4"/>
      <c r="M92" s="57"/>
      <c r="N92" s="66"/>
    </row>
    <row r="93" spans="3:14" s="1" customFormat="1" ht="12.75">
      <c r="C93" s="4"/>
      <c r="D93" s="4"/>
      <c r="E93" s="4"/>
      <c r="F93" s="4"/>
      <c r="G93" s="4"/>
      <c r="H93" s="4"/>
      <c r="I93" s="4"/>
      <c r="J93" s="4"/>
      <c r="K93" s="4"/>
      <c r="L93" s="4"/>
      <c r="M93" s="57"/>
      <c r="N93" s="66"/>
    </row>
    <row r="94" spans="3:14" s="1" customFormat="1" ht="12.75">
      <c r="C94" s="4"/>
      <c r="D94" s="4"/>
      <c r="E94" s="4"/>
      <c r="F94" s="4"/>
      <c r="G94" s="4"/>
      <c r="H94" s="4"/>
      <c r="I94" s="4"/>
      <c r="J94" s="4"/>
      <c r="K94" s="4"/>
      <c r="L94" s="4"/>
      <c r="M94" s="57"/>
      <c r="N94" s="66"/>
    </row>
    <row r="95" spans="3:14" s="1" customFormat="1" ht="12.75">
      <c r="C95" s="4"/>
      <c r="D95" s="4"/>
      <c r="E95" s="4"/>
      <c r="F95" s="4"/>
      <c r="G95" s="4"/>
      <c r="H95" s="4"/>
      <c r="I95" s="4"/>
      <c r="J95" s="4"/>
      <c r="K95" s="4"/>
      <c r="L95" s="4"/>
      <c r="M95" s="57"/>
      <c r="N95" s="66"/>
    </row>
    <row r="96" spans="3:14" s="1" customFormat="1" ht="12.75">
      <c r="C96" s="4"/>
      <c r="D96" s="4"/>
      <c r="E96" s="4"/>
      <c r="F96" s="4"/>
      <c r="G96" s="4"/>
      <c r="H96" s="4"/>
      <c r="I96" s="4"/>
      <c r="J96" s="4"/>
      <c r="K96" s="4"/>
      <c r="L96" s="4"/>
      <c r="M96" s="57"/>
      <c r="N96" s="66"/>
    </row>
    <row r="97" spans="3:14" s="1" customFormat="1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57"/>
      <c r="N97" s="66"/>
    </row>
    <row r="98" spans="3:14" s="1" customFormat="1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57"/>
      <c r="N98" s="66"/>
    </row>
    <row r="99" spans="3:14" s="1" customFormat="1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57"/>
      <c r="N99" s="66"/>
    </row>
    <row r="100" spans="3:14" s="1" customFormat="1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7"/>
      <c r="N100" s="66"/>
    </row>
    <row r="101" spans="3:14" s="1" customFormat="1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57"/>
      <c r="N101" s="66"/>
    </row>
    <row r="102" spans="3:14" s="1" customFormat="1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57"/>
      <c r="N102" s="66"/>
    </row>
    <row r="103" spans="3:14" s="1" customFormat="1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57"/>
      <c r="N103" s="66"/>
    </row>
    <row r="104" spans="3:14" s="1" customFormat="1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57"/>
      <c r="N104" s="66"/>
    </row>
    <row r="105" spans="3:14" s="1" customFormat="1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57"/>
      <c r="N105" s="66"/>
    </row>
    <row r="106" spans="3:14" s="1" customFormat="1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57"/>
      <c r="N106" s="66"/>
    </row>
    <row r="107" spans="3:14" s="1" customFormat="1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57"/>
      <c r="N107" s="66"/>
    </row>
    <row r="108" spans="3:14" s="1" customFormat="1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57"/>
      <c r="N108" s="66"/>
    </row>
    <row r="109" spans="3:14" s="1" customFormat="1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57"/>
      <c r="N109" s="66"/>
    </row>
    <row r="110" spans="3:14" s="1" customFormat="1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57"/>
      <c r="N110" s="66"/>
    </row>
    <row r="111" spans="3:14" s="1" customFormat="1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57"/>
      <c r="N111" s="66"/>
    </row>
    <row r="112" spans="3:14" s="1" customFormat="1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57"/>
      <c r="N112" s="66"/>
    </row>
    <row r="113" spans="3:14" s="1" customFormat="1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57"/>
      <c r="N113" s="66"/>
    </row>
    <row r="114" spans="3:14" s="1" customFormat="1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57"/>
      <c r="N114" s="66"/>
    </row>
    <row r="115" spans="3:14" s="1" customFormat="1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57"/>
      <c r="N115" s="66"/>
    </row>
    <row r="116" spans="3:14" s="1" customFormat="1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57"/>
      <c r="N116" s="66"/>
    </row>
    <row r="117" spans="3:14" s="1" customFormat="1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57"/>
      <c r="N117" s="66"/>
    </row>
    <row r="118" spans="3:14" s="1" customFormat="1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57"/>
      <c r="N118" s="66"/>
    </row>
    <row r="119" spans="3:14" s="1" customFormat="1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57"/>
      <c r="N119" s="66"/>
    </row>
    <row r="120" spans="3:14" s="1" customFormat="1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57"/>
      <c r="N120" s="66"/>
    </row>
    <row r="121" spans="3:14" s="1" customFormat="1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57"/>
      <c r="N121" s="66"/>
    </row>
    <row r="122" spans="3:14" s="1" customFormat="1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57"/>
      <c r="N122" s="66"/>
    </row>
    <row r="123" spans="3:14" s="1" customFormat="1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57"/>
      <c r="N123" s="66"/>
    </row>
    <row r="124" spans="3:14" s="1" customFormat="1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57"/>
      <c r="N124" s="66"/>
    </row>
    <row r="125" spans="3:14" s="1" customFormat="1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57"/>
      <c r="N125" s="66"/>
    </row>
    <row r="126" spans="3:14" s="1" customFormat="1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57"/>
      <c r="N126" s="66"/>
    </row>
    <row r="127" spans="3:14" s="1" customFormat="1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57"/>
      <c r="N127" s="66"/>
    </row>
    <row r="128" spans="3:14" s="1" customFormat="1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57"/>
      <c r="N128" s="66"/>
    </row>
    <row r="129" s="1" customFormat="1" ht="12.75"/>
    <row r="130" spans="3:14" s="1" customFormat="1" ht="12.75">
      <c r="C130" s="4"/>
      <c r="D130" s="4"/>
      <c r="E130" s="4"/>
      <c r="F130"/>
      <c r="G130" s="4"/>
      <c r="H130" s="4"/>
      <c r="I130" s="4"/>
      <c r="J130" s="4"/>
      <c r="K130" s="4"/>
      <c r="L130" s="4"/>
      <c r="M130" s="57"/>
      <c r="N130" s="66"/>
    </row>
    <row r="131" spans="3:14" s="1" customFormat="1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57"/>
      <c r="N131" s="66"/>
    </row>
    <row r="132" spans="3:14" s="1" customFormat="1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57"/>
      <c r="N132" s="66"/>
    </row>
    <row r="133" spans="3:14" s="1" customFormat="1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57"/>
      <c r="N133" s="66"/>
    </row>
    <row r="134" spans="3:14" s="1" customFormat="1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57"/>
      <c r="N134" s="66"/>
    </row>
    <row r="135" spans="3:14" s="1" customFormat="1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57"/>
      <c r="N135" s="66"/>
    </row>
    <row r="136" spans="3:14" s="1" customFormat="1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57"/>
      <c r="N136" s="66"/>
    </row>
    <row r="137" spans="3:14" s="1" customFormat="1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57"/>
      <c r="N137" s="66"/>
    </row>
    <row r="138" spans="3:14" s="1" customFormat="1" ht="12.7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57"/>
      <c r="N138" s="66"/>
    </row>
    <row r="139" spans="3:14" s="1" customFormat="1" ht="12.7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57"/>
      <c r="N139" s="66"/>
    </row>
    <row r="140" spans="3:14" s="1" customFormat="1" ht="12.7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57"/>
      <c r="N140" s="66"/>
    </row>
    <row r="141" spans="3:14" s="1" customFormat="1" ht="12.7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57"/>
      <c r="N141" s="66"/>
    </row>
    <row r="142" spans="3:14" s="1" customFormat="1" ht="12.7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57"/>
      <c r="N142" s="66"/>
    </row>
    <row r="143" spans="3:14" s="1" customFormat="1" ht="12.7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57"/>
      <c r="N143" s="66"/>
    </row>
  </sheetData>
  <sheetProtection/>
  <mergeCells count="20">
    <mergeCell ref="J35:K35"/>
    <mergeCell ref="F40:G40"/>
    <mergeCell ref="H40:I40"/>
    <mergeCell ref="J40:K40"/>
    <mergeCell ref="F37:G37"/>
    <mergeCell ref="H37:I37"/>
    <mergeCell ref="J37:K37"/>
    <mergeCell ref="J38:K38"/>
    <mergeCell ref="J36:K36"/>
    <mergeCell ref="F36:G36"/>
    <mergeCell ref="H36:I36"/>
    <mergeCell ref="F35:G35"/>
    <mergeCell ref="H35:I35"/>
    <mergeCell ref="F38:G38"/>
    <mergeCell ref="H38:I38"/>
    <mergeCell ref="A1:M1"/>
    <mergeCell ref="C4:D4"/>
    <mergeCell ref="F34:G34"/>
    <mergeCell ref="H34:I34"/>
    <mergeCell ref="J34:K34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O148"/>
  <sheetViews>
    <sheetView zoomScale="80" zoomScaleNormal="80" zoomScalePageLayoutView="0" workbookViewId="0" topLeftCell="A23">
      <selection activeCell="B39" sqref="B39:E39"/>
    </sheetView>
  </sheetViews>
  <sheetFormatPr defaultColWidth="9.140625" defaultRowHeight="12.75"/>
  <cols>
    <col min="1" max="1" width="7.00390625" style="0" customWidth="1"/>
    <col min="2" max="2" width="21.57421875" style="0" customWidth="1"/>
    <col min="3" max="5" width="17.7109375" style="3" customWidth="1"/>
    <col min="6" max="11" width="4.7109375" style="3" customWidth="1"/>
    <col min="12" max="12" width="8.7109375" style="3" customWidth="1"/>
    <col min="13" max="13" width="5.28125" style="50" customWidth="1"/>
    <col min="14" max="14" width="9.140625" style="76" customWidth="1"/>
  </cols>
  <sheetData>
    <row r="1" spans="1:14" s="91" customFormat="1" ht="16.5" customHeight="1">
      <c r="A1" s="508" t="s">
        <v>0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90"/>
    </row>
    <row r="2" spans="1:14" s="96" customFormat="1" ht="30" customHeight="1">
      <c r="A2" s="92"/>
      <c r="B2" s="93"/>
      <c r="C2" s="97"/>
      <c r="D2" s="98" t="s">
        <v>157</v>
      </c>
      <c r="E2" s="97"/>
      <c r="F2" s="93"/>
      <c r="G2" s="93"/>
      <c r="H2" s="93"/>
      <c r="I2" s="93"/>
      <c r="J2" s="93"/>
      <c r="K2" s="93"/>
      <c r="L2" s="93"/>
      <c r="M2" s="94"/>
      <c r="N2" s="95"/>
    </row>
    <row r="3" spans="1:8" ht="16.5" customHeight="1">
      <c r="A3" s="10" t="s">
        <v>25</v>
      </c>
      <c r="B3" s="11" t="s">
        <v>322</v>
      </c>
      <c r="C3" s="11"/>
      <c r="D3" s="11"/>
      <c r="E3" s="11"/>
      <c r="F3" s="11"/>
      <c r="G3" s="11"/>
      <c r="H3" s="11"/>
    </row>
    <row r="4" spans="1:14" s="208" customFormat="1" ht="13.5">
      <c r="A4" s="207" t="s">
        <v>1</v>
      </c>
      <c r="B4" s="20"/>
      <c r="C4" s="506" t="s">
        <v>326</v>
      </c>
      <c r="D4" s="506"/>
      <c r="E4" s="21"/>
      <c r="F4" s="75"/>
      <c r="G4" s="75"/>
      <c r="H4" s="75"/>
      <c r="I4" s="75"/>
      <c r="J4" s="75"/>
      <c r="K4" s="75"/>
      <c r="L4" s="75"/>
      <c r="M4" s="50"/>
      <c r="N4" s="76"/>
    </row>
    <row r="5" spans="1:14" s="208" customFormat="1" ht="13.5">
      <c r="A5" s="207" t="s">
        <v>2</v>
      </c>
      <c r="B5" s="20"/>
      <c r="C5" s="22" t="s">
        <v>4</v>
      </c>
      <c r="D5" s="21"/>
      <c r="E5" s="21"/>
      <c r="F5" s="75"/>
      <c r="G5" s="75"/>
      <c r="H5" s="75"/>
      <c r="I5" s="75"/>
      <c r="J5" s="75"/>
      <c r="K5" s="75"/>
      <c r="L5" s="75"/>
      <c r="M5" s="50"/>
      <c r="N5" s="76"/>
    </row>
    <row r="6" spans="1:14" s="208" customFormat="1" ht="13.5">
      <c r="A6" s="207" t="s">
        <v>3</v>
      </c>
      <c r="B6" s="20"/>
      <c r="C6" s="22" t="s">
        <v>45</v>
      </c>
      <c r="D6" s="21"/>
      <c r="E6" s="21"/>
      <c r="F6" s="75"/>
      <c r="G6" s="75"/>
      <c r="H6" s="75"/>
      <c r="I6" s="75"/>
      <c r="J6" s="75"/>
      <c r="K6" s="75"/>
      <c r="L6" s="75"/>
      <c r="M6" s="50"/>
      <c r="N6" s="76"/>
    </row>
    <row r="7" spans="3:14" s="1" customFormat="1" ht="12.75">
      <c r="C7" s="4"/>
      <c r="D7" s="4"/>
      <c r="E7" s="4"/>
      <c r="F7" s="4"/>
      <c r="G7" s="4"/>
      <c r="H7" s="4"/>
      <c r="I7" s="4"/>
      <c r="J7" s="4"/>
      <c r="K7" s="4"/>
      <c r="L7" s="4"/>
      <c r="M7" s="57"/>
      <c r="N7" s="66"/>
    </row>
    <row r="8" spans="1:14" s="1" customFormat="1" ht="12.75" customHeight="1">
      <c r="A8" s="6" t="s">
        <v>19</v>
      </c>
      <c r="B8" s="7"/>
      <c r="C8" s="8"/>
      <c r="D8" s="8"/>
      <c r="E8" s="8"/>
      <c r="F8" s="7"/>
      <c r="G8" s="7"/>
      <c r="H8" s="7"/>
      <c r="I8" s="7"/>
      <c r="J8" s="7"/>
      <c r="K8" s="7"/>
      <c r="L8" s="7"/>
      <c r="M8" s="58"/>
      <c r="N8" s="66"/>
    </row>
    <row r="9" spans="1:14" s="1" customFormat="1" ht="25.5" customHeight="1">
      <c r="A9" s="2" t="s">
        <v>8</v>
      </c>
      <c r="B9" s="18" t="s">
        <v>9</v>
      </c>
      <c r="C9" s="18" t="s">
        <v>5</v>
      </c>
      <c r="D9" s="18" t="s">
        <v>6</v>
      </c>
      <c r="E9" s="18" t="s">
        <v>7</v>
      </c>
      <c r="F9" s="2" t="s">
        <v>38</v>
      </c>
      <c r="G9" s="2" t="s">
        <v>39</v>
      </c>
      <c r="H9" s="2" t="s">
        <v>40</v>
      </c>
      <c r="I9" s="2" t="s">
        <v>41</v>
      </c>
      <c r="J9" s="2" t="s">
        <v>42</v>
      </c>
      <c r="K9" s="2" t="s">
        <v>43</v>
      </c>
      <c r="L9" s="17" t="s">
        <v>10</v>
      </c>
      <c r="M9" s="59" t="s">
        <v>44</v>
      </c>
      <c r="N9" s="66"/>
    </row>
    <row r="10" spans="1:14" s="1" customFormat="1" ht="12.75">
      <c r="A10" s="5" t="s">
        <v>22</v>
      </c>
      <c r="B10" s="202" t="s">
        <v>441</v>
      </c>
      <c r="C10" s="203">
        <v>1989</v>
      </c>
      <c r="D10" s="203">
        <v>33718</v>
      </c>
      <c r="E10" s="203" t="s">
        <v>442</v>
      </c>
      <c r="F10" s="12">
        <f>20+20+19+16+20</f>
        <v>95</v>
      </c>
      <c r="G10" s="12">
        <f>20+19+18+17+19</f>
        <v>93</v>
      </c>
      <c r="H10" s="12">
        <f>18+17+18+18+18</f>
        <v>89</v>
      </c>
      <c r="I10" s="12">
        <f>17+20+19+18+19</f>
        <v>93</v>
      </c>
      <c r="J10" s="12"/>
      <c r="K10" s="12"/>
      <c r="L10" s="9">
        <f aca="true" t="shared" si="0" ref="L10:L17">SUM(F10:K10)</f>
        <v>370</v>
      </c>
      <c r="M10" s="60" t="s">
        <v>445</v>
      </c>
      <c r="N10" s="66"/>
    </row>
    <row r="11" spans="1:14" s="1" customFormat="1" ht="12.75">
      <c r="A11" s="5" t="s">
        <v>23</v>
      </c>
      <c r="B11" s="137" t="s">
        <v>61</v>
      </c>
      <c r="C11" s="55">
        <v>1958</v>
      </c>
      <c r="D11" s="373">
        <v>4061</v>
      </c>
      <c r="E11" s="55" t="s">
        <v>152</v>
      </c>
      <c r="F11" s="12">
        <f>18+18+17+18+19</f>
        <v>90</v>
      </c>
      <c r="G11" s="12">
        <f>19+17+19+18+20</f>
        <v>93</v>
      </c>
      <c r="H11" s="12">
        <f>19+19+18+18+17</f>
        <v>91</v>
      </c>
      <c r="I11" s="12">
        <f>17+15+18+19+19</f>
        <v>88</v>
      </c>
      <c r="J11" s="12"/>
      <c r="K11" s="12"/>
      <c r="L11" s="9">
        <f t="shared" si="0"/>
        <v>362</v>
      </c>
      <c r="M11" s="60" t="s">
        <v>266</v>
      </c>
      <c r="N11" s="66"/>
    </row>
    <row r="12" spans="1:14" s="1" customFormat="1" ht="12.75">
      <c r="A12" s="5" t="s">
        <v>24</v>
      </c>
      <c r="B12" s="137" t="s">
        <v>156</v>
      </c>
      <c r="C12" s="56">
        <v>1990</v>
      </c>
      <c r="D12" s="160" t="s">
        <v>417</v>
      </c>
      <c r="E12" s="8" t="s">
        <v>97</v>
      </c>
      <c r="F12" s="12">
        <f>17+18+16+15+18</f>
        <v>84</v>
      </c>
      <c r="G12" s="12">
        <f>17+16+16+19+15</f>
        <v>83</v>
      </c>
      <c r="H12" s="12">
        <f>16+18+18+14+17</f>
        <v>83</v>
      </c>
      <c r="I12" s="12">
        <f>19+17+16+19+20</f>
        <v>91</v>
      </c>
      <c r="J12" s="12"/>
      <c r="K12" s="12"/>
      <c r="L12" s="9">
        <f t="shared" si="0"/>
        <v>341</v>
      </c>
      <c r="M12" s="60" t="s">
        <v>432</v>
      </c>
      <c r="N12" s="66"/>
    </row>
    <row r="13" spans="1:14" s="1" customFormat="1" ht="12.75" customHeight="1">
      <c r="A13" s="5" t="s">
        <v>25</v>
      </c>
      <c r="B13" s="13" t="s">
        <v>388</v>
      </c>
      <c r="C13" s="12">
        <v>1996</v>
      </c>
      <c r="D13" s="12">
        <v>37862</v>
      </c>
      <c r="E13" s="4" t="s">
        <v>349</v>
      </c>
      <c r="F13" s="12">
        <f>17+16+18+18+14</f>
        <v>83</v>
      </c>
      <c r="G13" s="12">
        <f>18+17+17+16+16</f>
        <v>84</v>
      </c>
      <c r="H13" s="12">
        <f>13+15+18+18+17</f>
        <v>81</v>
      </c>
      <c r="I13" s="12">
        <f>15+14+17+17+17</f>
        <v>80</v>
      </c>
      <c r="J13" s="12"/>
      <c r="K13" s="12"/>
      <c r="L13" s="9">
        <f t="shared" si="0"/>
        <v>328</v>
      </c>
      <c r="M13" s="60" t="s">
        <v>432</v>
      </c>
      <c r="N13" s="66"/>
    </row>
    <row r="14" spans="1:14" s="1" customFormat="1" ht="14.25">
      <c r="A14" s="5" t="s">
        <v>26</v>
      </c>
      <c r="B14" s="377" t="s">
        <v>159</v>
      </c>
      <c r="C14" s="378">
        <v>1994</v>
      </c>
      <c r="D14" s="203">
        <v>37964</v>
      </c>
      <c r="E14" s="55" t="s">
        <v>152</v>
      </c>
      <c r="F14" s="12">
        <f>17+18+15+17+15</f>
        <v>82</v>
      </c>
      <c r="G14" s="12">
        <f>15+17+17+19+16</f>
        <v>84</v>
      </c>
      <c r="H14" s="12">
        <f>17+19+18+17+13</f>
        <v>84</v>
      </c>
      <c r="I14" s="12">
        <f>18+19+17+15+7</f>
        <v>76</v>
      </c>
      <c r="J14" s="12"/>
      <c r="K14" s="12"/>
      <c r="L14" s="9">
        <f t="shared" si="0"/>
        <v>326</v>
      </c>
      <c r="M14" s="60" t="s">
        <v>432</v>
      </c>
      <c r="N14" s="66"/>
    </row>
    <row r="15" spans="1:14" s="1" customFormat="1" ht="12.75">
      <c r="A15" s="5" t="s">
        <v>27</v>
      </c>
      <c r="B15" s="15" t="s">
        <v>259</v>
      </c>
      <c r="C15" s="4">
        <v>1994</v>
      </c>
      <c r="D15" s="4">
        <v>31673</v>
      </c>
      <c r="E15" s="109" t="s">
        <v>352</v>
      </c>
      <c r="F15" s="12">
        <v>78</v>
      </c>
      <c r="G15" s="12">
        <v>84</v>
      </c>
      <c r="H15" s="12">
        <v>75</v>
      </c>
      <c r="I15" s="12">
        <f>17+14+15+15+15</f>
        <v>76</v>
      </c>
      <c r="J15" s="12"/>
      <c r="K15" s="12"/>
      <c r="L15" s="9">
        <f t="shared" si="0"/>
        <v>313</v>
      </c>
      <c r="M15" s="60"/>
      <c r="N15" s="66"/>
    </row>
    <row r="16" spans="1:14" s="1" customFormat="1" ht="12.75">
      <c r="A16" s="5" t="s">
        <v>28</v>
      </c>
      <c r="B16" s="377" t="s">
        <v>435</v>
      </c>
      <c r="C16" s="417">
        <v>1996</v>
      </c>
      <c r="D16" s="417" t="s">
        <v>436</v>
      </c>
      <c r="E16" s="55" t="s">
        <v>341</v>
      </c>
      <c r="F16" s="12">
        <f>16+15+12+15+15</f>
        <v>73</v>
      </c>
      <c r="G16" s="12">
        <f>14+18+11+11+8</f>
        <v>62</v>
      </c>
      <c r="H16" s="12">
        <f>16+12+15+11+15</f>
        <v>69</v>
      </c>
      <c r="I16" s="12">
        <f>15+13+15+17+11</f>
        <v>71</v>
      </c>
      <c r="J16" s="12"/>
      <c r="K16" s="12"/>
      <c r="L16" s="9">
        <f t="shared" si="0"/>
        <v>275</v>
      </c>
      <c r="M16" s="60"/>
      <c r="N16" s="66"/>
    </row>
    <row r="17" spans="1:14" s="1" customFormat="1" ht="12.75">
      <c r="A17" s="5" t="s">
        <v>29</v>
      </c>
      <c r="B17" s="419" t="s">
        <v>422</v>
      </c>
      <c r="C17" s="420">
        <v>1994</v>
      </c>
      <c r="D17" s="421" t="s">
        <v>423</v>
      </c>
      <c r="E17" s="420" t="s">
        <v>349</v>
      </c>
      <c r="F17" s="12">
        <v>76</v>
      </c>
      <c r="G17" s="12">
        <v>53</v>
      </c>
      <c r="H17" s="12">
        <f>12+16+14+11+16</f>
        <v>69</v>
      </c>
      <c r="I17" s="12">
        <f>17+15+12+16+16</f>
        <v>76</v>
      </c>
      <c r="J17" s="12"/>
      <c r="K17" s="12"/>
      <c r="L17" s="9">
        <f t="shared" si="0"/>
        <v>274</v>
      </c>
      <c r="M17" s="60"/>
      <c r="N17" s="66"/>
    </row>
    <row r="18" spans="1:14" s="1" customFormat="1" ht="24.75" customHeight="1">
      <c r="A18" s="6" t="s">
        <v>20</v>
      </c>
      <c r="B18" s="7"/>
      <c r="C18" s="8"/>
      <c r="D18" s="8"/>
      <c r="E18" s="8"/>
      <c r="F18" s="7"/>
      <c r="G18" s="7"/>
      <c r="H18" s="7"/>
      <c r="I18" s="7"/>
      <c r="J18" s="7"/>
      <c r="K18" s="7"/>
      <c r="L18" s="7"/>
      <c r="M18" s="58"/>
      <c r="N18" s="66"/>
    </row>
    <row r="19" spans="1:15" s="89" customFormat="1" ht="25.5" customHeight="1">
      <c r="A19" s="78" t="s">
        <v>8</v>
      </c>
      <c r="B19" s="18" t="s">
        <v>9</v>
      </c>
      <c r="C19" s="18" t="s">
        <v>5</v>
      </c>
      <c r="D19" s="18" t="s">
        <v>6</v>
      </c>
      <c r="E19" s="18" t="s">
        <v>7</v>
      </c>
      <c r="F19" s="78" t="s">
        <v>38</v>
      </c>
      <c r="G19" s="78" t="s">
        <v>39</v>
      </c>
      <c r="H19" s="78" t="s">
        <v>40</v>
      </c>
      <c r="I19" s="78" t="s">
        <v>41</v>
      </c>
      <c r="J19" s="78" t="s">
        <v>42</v>
      </c>
      <c r="K19" s="78" t="s">
        <v>43</v>
      </c>
      <c r="L19" s="17" t="s">
        <v>10</v>
      </c>
      <c r="M19" s="88" t="s">
        <v>44</v>
      </c>
      <c r="N19" s="67" t="s">
        <v>100</v>
      </c>
      <c r="O19" s="27"/>
    </row>
    <row r="20" spans="1:14" s="1" customFormat="1" ht="12.75">
      <c r="A20" s="5" t="s">
        <v>22</v>
      </c>
      <c r="B20" s="137" t="s">
        <v>284</v>
      </c>
      <c r="C20" s="109">
        <v>1957</v>
      </c>
      <c r="D20" s="4">
        <v>32651</v>
      </c>
      <c r="E20" s="109" t="s">
        <v>349</v>
      </c>
      <c r="F20" s="4">
        <f>19+18+20+20+18</f>
        <v>95</v>
      </c>
      <c r="G20" s="4">
        <f>18+20+17+19+20</f>
        <v>94</v>
      </c>
      <c r="H20" s="4">
        <f>19+20+18+19+20</f>
        <v>96</v>
      </c>
      <c r="I20" s="4">
        <f>20+19+19+20+18</f>
        <v>96</v>
      </c>
      <c r="J20" s="4">
        <f>18+19+19+19+19</f>
        <v>94</v>
      </c>
      <c r="K20" s="4">
        <f>17+17+20+19+19</f>
        <v>92</v>
      </c>
      <c r="L20" s="9">
        <f aca="true" t="shared" si="1" ref="L20:L35">SUM(F20:K20)</f>
        <v>567</v>
      </c>
      <c r="M20" s="57" t="s">
        <v>449</v>
      </c>
      <c r="N20" s="66">
        <f aca="true" t="shared" si="2" ref="N20:N35">SUM(F20:I20)</f>
        <v>381</v>
      </c>
    </row>
    <row r="21" spans="1:14" s="1" customFormat="1" ht="12.75">
      <c r="A21" s="5" t="s">
        <v>23</v>
      </c>
      <c r="B21" s="365" t="s">
        <v>315</v>
      </c>
      <c r="C21" s="109">
        <v>1984</v>
      </c>
      <c r="D21" s="77" t="s">
        <v>437</v>
      </c>
      <c r="E21" s="109" t="s">
        <v>415</v>
      </c>
      <c r="F21" s="4">
        <f>18+17+20+20+20</f>
        <v>95</v>
      </c>
      <c r="G21" s="4">
        <f>18+20+17+20+19</f>
        <v>94</v>
      </c>
      <c r="H21" s="4">
        <f>17+19+18+20+19</f>
        <v>93</v>
      </c>
      <c r="I21" s="4">
        <f>18+18+17+20+17</f>
        <v>90</v>
      </c>
      <c r="J21" s="4">
        <f>20+17+20+20+18</f>
        <v>95</v>
      </c>
      <c r="K21" s="4">
        <v>94</v>
      </c>
      <c r="L21" s="9">
        <f t="shared" si="1"/>
        <v>561</v>
      </c>
      <c r="M21" s="57" t="s">
        <v>266</v>
      </c>
      <c r="N21" s="66">
        <f t="shared" si="2"/>
        <v>372</v>
      </c>
    </row>
    <row r="22" spans="1:14" s="1" customFormat="1" ht="12.75">
      <c r="A22" s="5" t="s">
        <v>24</v>
      </c>
      <c r="B22" s="159" t="s">
        <v>360</v>
      </c>
      <c r="C22" s="4">
        <v>1970</v>
      </c>
      <c r="D22" s="4">
        <v>29592</v>
      </c>
      <c r="E22" s="4" t="s">
        <v>349</v>
      </c>
      <c r="F22" s="4">
        <f>20+19+17+19+18</f>
        <v>93</v>
      </c>
      <c r="G22" s="4">
        <f>18+17+18+17+19</f>
        <v>89</v>
      </c>
      <c r="H22" s="4">
        <f>17+20+20+19+18</f>
        <v>94</v>
      </c>
      <c r="I22" s="4">
        <f>20+18+17+19+19</f>
        <v>93</v>
      </c>
      <c r="J22" s="4">
        <f>19+20+20+19+18</f>
        <v>96</v>
      </c>
      <c r="K22" s="4">
        <f>19+19+20+18+19</f>
        <v>95</v>
      </c>
      <c r="L22" s="9">
        <f t="shared" si="1"/>
        <v>560</v>
      </c>
      <c r="M22" s="57" t="s">
        <v>266</v>
      </c>
      <c r="N22" s="66">
        <f t="shared" si="2"/>
        <v>369</v>
      </c>
    </row>
    <row r="23" spans="1:14" s="1" customFormat="1" ht="12.75">
      <c r="A23" s="5" t="s">
        <v>25</v>
      </c>
      <c r="B23" s="137" t="s">
        <v>129</v>
      </c>
      <c r="C23" s="55">
        <v>1935</v>
      </c>
      <c r="D23" s="4">
        <v>1794</v>
      </c>
      <c r="E23" s="109" t="s">
        <v>348</v>
      </c>
      <c r="F23" s="4">
        <f>18+18+19+19+17</f>
        <v>91</v>
      </c>
      <c r="G23" s="4">
        <f>19+20+18+18+17</f>
        <v>92</v>
      </c>
      <c r="H23" s="4">
        <f>18+17+20+20+17</f>
        <v>92</v>
      </c>
      <c r="I23" s="4">
        <f>18+17+19+18+18</f>
        <v>90</v>
      </c>
      <c r="J23" s="4">
        <f>18+20+18+18+18</f>
        <v>92</v>
      </c>
      <c r="K23" s="4">
        <f>18+19+19+18+17</f>
        <v>91</v>
      </c>
      <c r="L23" s="9">
        <f t="shared" si="1"/>
        <v>548</v>
      </c>
      <c r="M23" s="57" t="s">
        <v>427</v>
      </c>
      <c r="N23" s="66">
        <f t="shared" si="2"/>
        <v>365</v>
      </c>
    </row>
    <row r="24" spans="1:14" s="1" customFormat="1" ht="12.75">
      <c r="A24" s="5" t="s">
        <v>26</v>
      </c>
      <c r="B24" s="137" t="s">
        <v>49</v>
      </c>
      <c r="C24" s="55">
        <v>1954</v>
      </c>
      <c r="D24" s="4">
        <v>17785</v>
      </c>
      <c r="E24" s="4" t="s">
        <v>97</v>
      </c>
      <c r="F24" s="4">
        <f>16+18+18+19+19</f>
        <v>90</v>
      </c>
      <c r="G24" s="4">
        <f>20+18+19+18+19</f>
        <v>94</v>
      </c>
      <c r="H24" s="4">
        <f>18+19+18+18+19</f>
        <v>92</v>
      </c>
      <c r="I24" s="4">
        <f>18+18+20+18+17</f>
        <v>91</v>
      </c>
      <c r="J24" s="4">
        <f>20+20+15+15+18</f>
        <v>88</v>
      </c>
      <c r="K24" s="4">
        <f>19+18+19+18+16</f>
        <v>90</v>
      </c>
      <c r="L24" s="9">
        <f t="shared" si="1"/>
        <v>545</v>
      </c>
      <c r="M24" s="57" t="s">
        <v>266</v>
      </c>
      <c r="N24" s="66">
        <f t="shared" si="2"/>
        <v>367</v>
      </c>
    </row>
    <row r="25" spans="1:14" s="1" customFormat="1" ht="12.75">
      <c r="A25" s="5" t="s">
        <v>27</v>
      </c>
      <c r="B25" s="137" t="s">
        <v>134</v>
      </c>
      <c r="C25" s="55">
        <v>1955</v>
      </c>
      <c r="D25" s="12">
        <v>17071</v>
      </c>
      <c r="E25" s="12" t="s">
        <v>355</v>
      </c>
      <c r="F25" s="4">
        <f>19+19+18+17+19</f>
        <v>92</v>
      </c>
      <c r="G25" s="4">
        <v>90</v>
      </c>
      <c r="H25" s="4">
        <f>17+18+17+15+18</f>
        <v>85</v>
      </c>
      <c r="I25" s="4">
        <f>18+19+20+19+20</f>
        <v>96</v>
      </c>
      <c r="J25" s="4">
        <f>18+19+17+19+17</f>
        <v>90</v>
      </c>
      <c r="K25" s="4">
        <f>19+19+18+17+17</f>
        <v>90</v>
      </c>
      <c r="L25" s="9">
        <f t="shared" si="1"/>
        <v>543</v>
      </c>
      <c r="M25" s="57" t="s">
        <v>432</v>
      </c>
      <c r="N25" s="66">
        <f t="shared" si="2"/>
        <v>363</v>
      </c>
    </row>
    <row r="26" spans="1:14" s="1" customFormat="1" ht="12.75">
      <c r="A26" s="5" t="s">
        <v>28</v>
      </c>
      <c r="B26" s="367" t="s">
        <v>297</v>
      </c>
      <c r="C26" s="109">
        <v>1969</v>
      </c>
      <c r="D26" s="4" t="s">
        <v>350</v>
      </c>
      <c r="E26" s="4" t="s">
        <v>351</v>
      </c>
      <c r="F26" s="4">
        <f>18+20+19+15+14</f>
        <v>86</v>
      </c>
      <c r="G26" s="4">
        <f>19+17+16+20+17</f>
        <v>89</v>
      </c>
      <c r="H26" s="4">
        <f>17+16+18+17+18</f>
        <v>86</v>
      </c>
      <c r="I26" s="4">
        <f>20+18+17+19+18</f>
        <v>92</v>
      </c>
      <c r="J26" s="4">
        <f>18+19+17+16+19</f>
        <v>89</v>
      </c>
      <c r="K26" s="4">
        <f>17+19+16+19+19</f>
        <v>90</v>
      </c>
      <c r="L26" s="9">
        <f t="shared" si="1"/>
        <v>532</v>
      </c>
      <c r="M26" s="57" t="s">
        <v>432</v>
      </c>
      <c r="N26" s="66">
        <f t="shared" si="2"/>
        <v>353</v>
      </c>
    </row>
    <row r="27" spans="1:14" s="1" customFormat="1" ht="12.75">
      <c r="A27" s="5" t="s">
        <v>29</v>
      </c>
      <c r="B27" s="137" t="s">
        <v>159</v>
      </c>
      <c r="C27" s="55">
        <v>1972</v>
      </c>
      <c r="D27" s="4">
        <v>37828</v>
      </c>
      <c r="E27" s="4" t="s">
        <v>152</v>
      </c>
      <c r="F27" s="4">
        <f>15+19+19+15+17</f>
        <v>85</v>
      </c>
      <c r="G27" s="4">
        <f>18+18+19+17+17</f>
        <v>89</v>
      </c>
      <c r="H27" s="4">
        <f>19+18+19+18+14</f>
        <v>88</v>
      </c>
      <c r="I27" s="4">
        <f>16+18+19+18+18</f>
        <v>89</v>
      </c>
      <c r="J27" s="4">
        <f>17+18+18+19+18</f>
        <v>90</v>
      </c>
      <c r="K27" s="4">
        <f>18+18+19+19+16</f>
        <v>90</v>
      </c>
      <c r="L27" s="9">
        <f t="shared" si="1"/>
        <v>531</v>
      </c>
      <c r="M27" s="57" t="s">
        <v>432</v>
      </c>
      <c r="N27" s="66">
        <f t="shared" si="2"/>
        <v>351</v>
      </c>
    </row>
    <row r="28" spans="1:14" s="1" customFormat="1" ht="12.75">
      <c r="A28" s="5" t="s">
        <v>30</v>
      </c>
      <c r="B28" s="137" t="s">
        <v>59</v>
      </c>
      <c r="C28" s="55">
        <v>1956</v>
      </c>
      <c r="D28" s="155" t="s">
        <v>416</v>
      </c>
      <c r="E28" s="56" t="s">
        <v>426</v>
      </c>
      <c r="F28" s="4">
        <v>94</v>
      </c>
      <c r="G28" s="4">
        <v>85</v>
      </c>
      <c r="H28" s="4">
        <f>17+17+19+19+17</f>
        <v>89</v>
      </c>
      <c r="I28" s="4">
        <f>18+17+16+17+16</f>
        <v>84</v>
      </c>
      <c r="J28" s="4">
        <f>17+19+17+17+18</f>
        <v>88</v>
      </c>
      <c r="K28" s="4">
        <f>16+18+18+17+19</f>
        <v>88</v>
      </c>
      <c r="L28" s="9">
        <f t="shared" si="1"/>
        <v>528</v>
      </c>
      <c r="M28" s="57" t="s">
        <v>432</v>
      </c>
      <c r="N28" s="66">
        <f t="shared" si="2"/>
        <v>352</v>
      </c>
    </row>
    <row r="29" spans="1:14" s="1" customFormat="1" ht="12.75">
      <c r="A29" s="5" t="s">
        <v>31</v>
      </c>
      <c r="B29" s="137" t="s">
        <v>51</v>
      </c>
      <c r="C29" s="109">
        <v>1940</v>
      </c>
      <c r="D29" s="4">
        <v>6943</v>
      </c>
      <c r="E29" s="12" t="s">
        <v>97</v>
      </c>
      <c r="F29" s="4">
        <f>17+15+19+18+16</f>
        <v>85</v>
      </c>
      <c r="G29" s="4">
        <f>17+18+17+16+18</f>
        <v>86</v>
      </c>
      <c r="H29" s="4">
        <f>16+17+15+17+18</f>
        <v>83</v>
      </c>
      <c r="I29" s="4">
        <f>18+17+17+16+19</f>
        <v>87</v>
      </c>
      <c r="J29" s="4">
        <f>18+14+17+19+16</f>
        <v>84</v>
      </c>
      <c r="K29" s="4">
        <f>18+18+19+19+19</f>
        <v>93</v>
      </c>
      <c r="L29" s="9">
        <f t="shared" si="1"/>
        <v>518</v>
      </c>
      <c r="M29" s="57" t="s">
        <v>432</v>
      </c>
      <c r="N29" s="66">
        <f t="shared" si="2"/>
        <v>341</v>
      </c>
    </row>
    <row r="30" spans="1:14" s="1" customFormat="1" ht="12.75">
      <c r="A30" s="5" t="s">
        <v>32</v>
      </c>
      <c r="B30" s="15" t="s">
        <v>310</v>
      </c>
      <c r="C30" s="4">
        <v>1946</v>
      </c>
      <c r="D30" s="332" t="s">
        <v>286</v>
      </c>
      <c r="E30" s="4" t="s">
        <v>287</v>
      </c>
      <c r="F30" s="4">
        <v>84</v>
      </c>
      <c r="G30" s="4">
        <v>84</v>
      </c>
      <c r="H30" s="4">
        <v>85</v>
      </c>
      <c r="I30" s="4">
        <v>85</v>
      </c>
      <c r="J30" s="4">
        <v>89</v>
      </c>
      <c r="K30" s="4">
        <v>90</v>
      </c>
      <c r="L30" s="9">
        <f t="shared" si="1"/>
        <v>517</v>
      </c>
      <c r="M30" s="57" t="s">
        <v>431</v>
      </c>
      <c r="N30" s="66">
        <f t="shared" si="2"/>
        <v>338</v>
      </c>
    </row>
    <row r="31" spans="1:14" s="1" customFormat="1" ht="12.75">
      <c r="A31" s="5" t="s">
        <v>33</v>
      </c>
      <c r="B31" s="365" t="s">
        <v>50</v>
      </c>
      <c r="C31" s="109">
        <v>1977</v>
      </c>
      <c r="D31" s="109">
        <v>31241</v>
      </c>
      <c r="E31" s="107" t="s">
        <v>97</v>
      </c>
      <c r="F31" s="4">
        <v>79</v>
      </c>
      <c r="G31" s="4">
        <v>91</v>
      </c>
      <c r="H31" s="4">
        <v>84</v>
      </c>
      <c r="I31" s="4">
        <v>86</v>
      </c>
      <c r="J31" s="4">
        <f>20+18+17+18+17</f>
        <v>90</v>
      </c>
      <c r="K31" s="4">
        <f>19+14+17+18+17</f>
        <v>85</v>
      </c>
      <c r="L31" s="9">
        <f t="shared" si="1"/>
        <v>515</v>
      </c>
      <c r="M31" s="57"/>
      <c r="N31" s="66">
        <f t="shared" si="2"/>
        <v>340</v>
      </c>
    </row>
    <row r="32" spans="1:14" s="1" customFormat="1" ht="12.75">
      <c r="A32" s="5" t="s">
        <v>34</v>
      </c>
      <c r="B32" s="137" t="s">
        <v>316</v>
      </c>
      <c r="C32" s="56">
        <v>1956</v>
      </c>
      <c r="D32" s="155">
        <v>32183</v>
      </c>
      <c r="E32" s="4" t="s">
        <v>415</v>
      </c>
      <c r="F32" s="4">
        <f>20+19+17+18+15</f>
        <v>89</v>
      </c>
      <c r="G32" s="4">
        <f>17+17+19+15+17</f>
        <v>85</v>
      </c>
      <c r="H32" s="4" t="e">
        <f>#N/A</f>
        <v>#N/A</v>
      </c>
      <c r="I32" s="4">
        <f>13+16+19+16+17</f>
        <v>81</v>
      </c>
      <c r="J32" s="4">
        <f>17+15+17+17+18</f>
        <v>84</v>
      </c>
      <c r="K32" s="4">
        <f>20+17+19+17+18</f>
        <v>91</v>
      </c>
      <c r="L32" s="9" t="e">
        <f t="shared" si="1"/>
        <v>#N/A</v>
      </c>
      <c r="M32" s="57" t="s">
        <v>432</v>
      </c>
      <c r="N32" s="66" t="e">
        <f t="shared" si="2"/>
        <v>#N/A</v>
      </c>
    </row>
    <row r="33" spans="1:14" s="1" customFormat="1" ht="12.75">
      <c r="A33" s="5" t="s">
        <v>35</v>
      </c>
      <c r="B33" s="137" t="s">
        <v>148</v>
      </c>
      <c r="C33" s="55">
        <v>1978</v>
      </c>
      <c r="D33" s="4" t="s">
        <v>353</v>
      </c>
      <c r="E33" s="109" t="s">
        <v>354</v>
      </c>
      <c r="F33" s="4">
        <f>20+15+14+19+18</f>
        <v>86</v>
      </c>
      <c r="G33" s="4">
        <f>16+15+17+19+16</f>
        <v>83</v>
      </c>
      <c r="H33" s="4">
        <f>15+17+17+16+19</f>
        <v>84</v>
      </c>
      <c r="I33" s="4">
        <f>19+17+18+17+17</f>
        <v>88</v>
      </c>
      <c r="J33" s="4">
        <f>15+16+17+16+17</f>
        <v>81</v>
      </c>
      <c r="K33" s="4">
        <f>17+18+18+18+19</f>
        <v>90</v>
      </c>
      <c r="L33" s="9">
        <f t="shared" si="1"/>
        <v>512</v>
      </c>
      <c r="M33" s="57"/>
      <c r="N33" s="66">
        <f t="shared" si="2"/>
        <v>341</v>
      </c>
    </row>
    <row r="34" spans="1:14" s="1" customFormat="1" ht="12.75">
      <c r="A34" s="5" t="s">
        <v>36</v>
      </c>
      <c r="B34" s="137" t="s">
        <v>57</v>
      </c>
      <c r="C34" s="55">
        <v>1952</v>
      </c>
      <c r="D34" s="374" t="s">
        <v>391</v>
      </c>
      <c r="E34" s="56" t="s">
        <v>152</v>
      </c>
      <c r="F34" s="4">
        <f>18+17+17+18+17</f>
        <v>87</v>
      </c>
      <c r="G34" s="4">
        <f>17+19+16+18+16</f>
        <v>86</v>
      </c>
      <c r="H34" s="4">
        <f>14+16+18+16+17</f>
        <v>81</v>
      </c>
      <c r="I34" s="4">
        <f>15+18+20+16+16</f>
        <v>85</v>
      </c>
      <c r="J34" s="4">
        <f>19+16+15+20+18</f>
        <v>88</v>
      </c>
      <c r="K34" s="4">
        <f>18+19+15+17+15</f>
        <v>84</v>
      </c>
      <c r="L34" s="9">
        <f t="shared" si="1"/>
        <v>511</v>
      </c>
      <c r="M34" s="57"/>
      <c r="N34" s="66">
        <f t="shared" si="2"/>
        <v>339</v>
      </c>
    </row>
    <row r="35" spans="1:14" s="1" customFormat="1" ht="12.75">
      <c r="A35" s="5" t="s">
        <v>37</v>
      </c>
      <c r="B35" s="137" t="s">
        <v>96</v>
      </c>
      <c r="C35" s="55">
        <v>1992</v>
      </c>
      <c r="D35" s="160">
        <v>35409</v>
      </c>
      <c r="E35" s="55" t="s">
        <v>98</v>
      </c>
      <c r="F35" s="4">
        <v>91</v>
      </c>
      <c r="G35" s="4">
        <v>81</v>
      </c>
      <c r="H35" s="4">
        <v>86</v>
      </c>
      <c r="I35" s="4">
        <v>86</v>
      </c>
      <c r="J35" s="4">
        <v>80</v>
      </c>
      <c r="K35" s="4">
        <v>86</v>
      </c>
      <c r="L35" s="9">
        <f t="shared" si="1"/>
        <v>510</v>
      </c>
      <c r="M35" s="57" t="s">
        <v>432</v>
      </c>
      <c r="N35" s="66">
        <f t="shared" si="2"/>
        <v>344</v>
      </c>
    </row>
    <row r="36" spans="1:14" s="1" customFormat="1" ht="24.75" customHeight="1">
      <c r="A36" s="6" t="s">
        <v>21</v>
      </c>
      <c r="B36" s="7"/>
      <c r="C36" s="8"/>
      <c r="D36" s="8"/>
      <c r="E36" s="8"/>
      <c r="F36" s="7"/>
      <c r="G36" s="7"/>
      <c r="H36" s="7"/>
      <c r="I36" s="7"/>
      <c r="J36" s="7"/>
      <c r="K36" s="7"/>
      <c r="L36" s="7"/>
      <c r="M36" s="58"/>
      <c r="N36" s="66"/>
    </row>
    <row r="37" spans="1:14" s="1" customFormat="1" ht="25.5" customHeight="1">
      <c r="A37" s="2" t="s">
        <v>8</v>
      </c>
      <c r="B37" s="209" t="s">
        <v>17</v>
      </c>
      <c r="C37" s="209" t="s">
        <v>11</v>
      </c>
      <c r="D37" s="209" t="s">
        <v>12</v>
      </c>
      <c r="E37" s="209" t="s">
        <v>13</v>
      </c>
      <c r="F37" s="507" t="s">
        <v>14</v>
      </c>
      <c r="G37" s="507"/>
      <c r="H37" s="507" t="s">
        <v>15</v>
      </c>
      <c r="I37" s="507"/>
      <c r="J37" s="507" t="s">
        <v>16</v>
      </c>
      <c r="K37" s="507"/>
      <c r="L37" s="210" t="s">
        <v>10</v>
      </c>
      <c r="M37" s="59"/>
      <c r="N37" s="66"/>
    </row>
    <row r="38" spans="1:14" s="1" customFormat="1" ht="15">
      <c r="A38" s="5" t="s">
        <v>22</v>
      </c>
      <c r="B38" s="385" t="s">
        <v>364</v>
      </c>
      <c r="C38" s="58" t="s">
        <v>362</v>
      </c>
      <c r="D38" s="57" t="s">
        <v>361</v>
      </c>
      <c r="E38" s="386" t="s">
        <v>452</v>
      </c>
      <c r="F38" s="503">
        <v>381</v>
      </c>
      <c r="G38" s="503"/>
      <c r="H38" s="503">
        <v>369</v>
      </c>
      <c r="I38" s="503"/>
      <c r="J38" s="503">
        <v>328</v>
      </c>
      <c r="K38" s="503"/>
      <c r="L38" s="328">
        <f>SUM(F38:K38)</f>
        <v>1078</v>
      </c>
      <c r="M38" s="57"/>
      <c r="N38" s="66"/>
    </row>
    <row r="39" spans="1:14" s="1" customFormat="1" ht="12.75">
      <c r="A39" s="5" t="s">
        <v>23</v>
      </c>
      <c r="B39" s="389" t="s">
        <v>60</v>
      </c>
      <c r="C39" s="58" t="s">
        <v>368</v>
      </c>
      <c r="D39" s="57" t="s">
        <v>394</v>
      </c>
      <c r="E39" s="386" t="s">
        <v>451</v>
      </c>
      <c r="F39" s="503">
        <v>339</v>
      </c>
      <c r="G39" s="503"/>
      <c r="H39" s="503">
        <v>362</v>
      </c>
      <c r="I39" s="503"/>
      <c r="J39" s="503">
        <v>351</v>
      </c>
      <c r="K39" s="503"/>
      <c r="L39" s="328">
        <f>SUM(F39:K39)</f>
        <v>1052</v>
      </c>
      <c r="M39" s="57"/>
      <c r="N39" s="66"/>
    </row>
    <row r="40" spans="1:14" s="1" customFormat="1" ht="15">
      <c r="A40" s="5" t="s">
        <v>24</v>
      </c>
      <c r="B40" s="387" t="s">
        <v>418</v>
      </c>
      <c r="C40" s="58" t="s">
        <v>367</v>
      </c>
      <c r="D40" s="57" t="s">
        <v>421</v>
      </c>
      <c r="E40" s="386" t="s">
        <v>366</v>
      </c>
      <c r="F40" s="503">
        <v>367</v>
      </c>
      <c r="G40" s="503"/>
      <c r="H40" s="503">
        <v>341</v>
      </c>
      <c r="I40" s="503"/>
      <c r="J40" s="503">
        <v>341</v>
      </c>
      <c r="K40" s="503"/>
      <c r="L40" s="328">
        <f>SUM(F40:K40)</f>
        <v>1049</v>
      </c>
      <c r="M40" s="57"/>
      <c r="N40" s="66"/>
    </row>
    <row r="41" spans="1:14" s="1" customFormat="1" ht="15">
      <c r="A41" s="5" t="s">
        <v>25</v>
      </c>
      <c r="B41" s="145" t="s">
        <v>354</v>
      </c>
      <c r="C41" s="107" t="s">
        <v>374</v>
      </c>
      <c r="D41" s="107" t="s">
        <v>375</v>
      </c>
      <c r="E41" s="12"/>
      <c r="F41" s="504">
        <v>341</v>
      </c>
      <c r="G41" s="504"/>
      <c r="H41" s="504">
        <v>313</v>
      </c>
      <c r="I41" s="504"/>
      <c r="J41" s="504"/>
      <c r="K41" s="504"/>
      <c r="L41" s="9">
        <f>SUM(F41:K41)</f>
        <v>654</v>
      </c>
      <c r="M41" s="57"/>
      <c r="N41" s="66"/>
    </row>
    <row r="42" spans="1:14" s="1" customFormat="1" ht="12.75">
      <c r="A42" s="5" t="s">
        <v>26</v>
      </c>
      <c r="M42" s="57"/>
      <c r="N42" s="66"/>
    </row>
    <row r="43" spans="1:14" s="1" customFormat="1" ht="12.75">
      <c r="A43" s="5"/>
      <c r="E43" s="9" t="s">
        <v>94</v>
      </c>
      <c r="M43" s="57"/>
      <c r="N43" s="66"/>
    </row>
    <row r="44" spans="3:14" s="1" customFormat="1" ht="12.75">
      <c r="C44" s="4"/>
      <c r="D44" s="4"/>
      <c r="E44" s="9" t="s">
        <v>95</v>
      </c>
      <c r="F44" s="4"/>
      <c r="G44" s="4"/>
      <c r="H44" s="4"/>
      <c r="I44" s="4"/>
      <c r="J44" s="4"/>
      <c r="K44" s="4"/>
      <c r="L44" s="4"/>
      <c r="M44" s="57"/>
      <c r="N44" s="66"/>
    </row>
    <row r="45" spans="3:14" s="1" customFormat="1" ht="12.75">
      <c r="C45" s="4"/>
      <c r="D45" s="4"/>
      <c r="F45" s="4"/>
      <c r="G45" s="4"/>
      <c r="H45" s="4"/>
      <c r="I45" s="4"/>
      <c r="J45" s="4"/>
      <c r="K45" s="4"/>
      <c r="L45" s="4"/>
      <c r="M45" s="57"/>
      <c r="N45" s="66"/>
    </row>
    <row r="46" spans="3:14" s="1" customFormat="1" ht="12.75">
      <c r="C46" s="4"/>
      <c r="D46" s="4"/>
      <c r="E46" s="4"/>
      <c r="F46" s="4"/>
      <c r="G46" s="4"/>
      <c r="H46" s="4"/>
      <c r="I46" s="4"/>
      <c r="J46" s="4"/>
      <c r="K46" s="4"/>
      <c r="L46" s="4"/>
      <c r="M46" s="57"/>
      <c r="N46" s="66"/>
    </row>
    <row r="47" spans="3:14" s="1" customFormat="1" ht="12.75">
      <c r="C47" s="4"/>
      <c r="D47" s="4"/>
      <c r="F47" s="4"/>
      <c r="G47" s="4"/>
      <c r="H47" s="4"/>
      <c r="I47" s="4"/>
      <c r="J47" s="4"/>
      <c r="K47" s="4"/>
      <c r="L47" s="4"/>
      <c r="M47" s="57"/>
      <c r="N47" s="66"/>
    </row>
    <row r="48" spans="3:14" s="1" customFormat="1" ht="12.75">
      <c r="C48" s="4"/>
      <c r="D48" s="4"/>
      <c r="F48" s="4"/>
      <c r="G48" s="4"/>
      <c r="H48" s="4"/>
      <c r="I48" s="4"/>
      <c r="J48" s="4"/>
      <c r="K48" s="4"/>
      <c r="L48" s="4"/>
      <c r="M48" s="57"/>
      <c r="N48" s="66"/>
    </row>
    <row r="49" spans="3:14" s="1" customFormat="1" ht="12.75">
      <c r="C49" s="4"/>
      <c r="D49" s="4"/>
      <c r="E49" s="4"/>
      <c r="F49" s="4"/>
      <c r="G49" s="4"/>
      <c r="H49" s="4"/>
      <c r="I49" s="4"/>
      <c r="J49" s="4"/>
      <c r="K49" s="4"/>
      <c r="L49" s="4"/>
      <c r="M49" s="57"/>
      <c r="N49" s="66"/>
    </row>
    <row r="50" spans="3:14" s="1" customFormat="1" ht="12.75">
      <c r="C50" s="4"/>
      <c r="D50" s="4"/>
      <c r="E50" s="4"/>
      <c r="F50" s="4"/>
      <c r="G50" s="4"/>
      <c r="H50" s="4"/>
      <c r="I50" s="4"/>
      <c r="J50" s="4"/>
      <c r="K50" s="4"/>
      <c r="L50" s="4"/>
      <c r="M50" s="57"/>
      <c r="N50" s="66"/>
    </row>
    <row r="51" spans="3:14" s="1" customFormat="1" ht="12.75">
      <c r="C51" s="4"/>
      <c r="D51" s="4"/>
      <c r="E51" s="4"/>
      <c r="F51" s="4"/>
      <c r="G51" s="4"/>
      <c r="H51" s="4"/>
      <c r="I51" s="4"/>
      <c r="J51" s="4"/>
      <c r="K51" s="4"/>
      <c r="L51" s="4"/>
      <c r="M51" s="57"/>
      <c r="N51" s="66"/>
    </row>
    <row r="52" spans="3:14" s="1" customFormat="1" ht="12.75">
      <c r="C52" s="4"/>
      <c r="D52" s="4"/>
      <c r="E52" s="4"/>
      <c r="F52" s="4"/>
      <c r="G52" s="4"/>
      <c r="H52" s="4"/>
      <c r="I52" s="4"/>
      <c r="J52" s="4"/>
      <c r="K52" s="4"/>
      <c r="L52" s="4"/>
      <c r="M52" s="57"/>
      <c r="N52" s="66"/>
    </row>
    <row r="53" spans="3:14" s="1" customFormat="1" ht="12.75">
      <c r="C53" s="4"/>
      <c r="D53" s="4"/>
      <c r="E53" s="4"/>
      <c r="F53" s="4"/>
      <c r="G53" s="4"/>
      <c r="H53" s="4"/>
      <c r="I53" s="4"/>
      <c r="J53" s="4"/>
      <c r="K53" s="4"/>
      <c r="L53" s="4"/>
      <c r="M53" s="57"/>
      <c r="N53" s="66"/>
    </row>
    <row r="54" spans="3:14" s="1" customFormat="1" ht="12.75">
      <c r="C54" s="4"/>
      <c r="D54" s="4"/>
      <c r="E54" s="4"/>
      <c r="F54" s="4"/>
      <c r="G54" s="4"/>
      <c r="H54" s="4"/>
      <c r="I54" s="4"/>
      <c r="J54" s="4"/>
      <c r="K54" s="4"/>
      <c r="L54" s="4"/>
      <c r="M54" s="57"/>
      <c r="N54" s="66"/>
    </row>
    <row r="55" spans="3:14" s="1" customFormat="1" ht="12.75">
      <c r="C55" s="4"/>
      <c r="D55" s="4"/>
      <c r="E55" s="4"/>
      <c r="F55" s="4"/>
      <c r="G55" s="4"/>
      <c r="H55" s="4"/>
      <c r="I55" s="4"/>
      <c r="J55" s="4"/>
      <c r="K55" s="4"/>
      <c r="L55" s="4"/>
      <c r="M55" s="57"/>
      <c r="N55" s="66"/>
    </row>
    <row r="56" spans="3:14" s="1" customFormat="1" ht="12.75">
      <c r="C56" s="4"/>
      <c r="D56" s="4"/>
      <c r="E56" s="4"/>
      <c r="F56" s="4"/>
      <c r="G56" s="4"/>
      <c r="H56" s="4"/>
      <c r="I56" s="4"/>
      <c r="J56" s="4"/>
      <c r="K56" s="4"/>
      <c r="L56" s="4"/>
      <c r="M56" s="57"/>
      <c r="N56" s="66"/>
    </row>
    <row r="57" spans="3:14" s="1" customFormat="1" ht="12.75">
      <c r="C57" s="4"/>
      <c r="D57" s="4"/>
      <c r="E57" s="4"/>
      <c r="F57" s="4"/>
      <c r="G57" s="4"/>
      <c r="H57" s="4"/>
      <c r="I57" s="4"/>
      <c r="J57" s="4"/>
      <c r="K57" s="4"/>
      <c r="L57" s="4"/>
      <c r="M57" s="57"/>
      <c r="N57" s="66"/>
    </row>
    <row r="58" spans="3:14" s="1" customFormat="1" ht="12.75">
      <c r="C58" s="4"/>
      <c r="D58" s="4"/>
      <c r="E58" s="4"/>
      <c r="F58" s="4"/>
      <c r="G58" s="4"/>
      <c r="H58" s="4"/>
      <c r="I58" s="4"/>
      <c r="J58" s="4"/>
      <c r="K58" s="4"/>
      <c r="L58" s="4"/>
      <c r="M58" s="57"/>
      <c r="N58" s="66"/>
    </row>
    <row r="59" spans="3:14" s="1" customFormat="1" ht="12.75">
      <c r="C59" s="4"/>
      <c r="D59" s="4"/>
      <c r="E59" s="4"/>
      <c r="F59" s="4"/>
      <c r="G59" s="4"/>
      <c r="H59" s="4"/>
      <c r="I59" s="4"/>
      <c r="J59" s="4"/>
      <c r="K59" s="4"/>
      <c r="L59" s="4"/>
      <c r="M59" s="57"/>
      <c r="N59" s="66"/>
    </row>
    <row r="60" spans="3:14" s="1" customFormat="1" ht="12.75">
      <c r="C60" s="4"/>
      <c r="D60" s="4"/>
      <c r="E60" s="4"/>
      <c r="F60" s="4"/>
      <c r="G60" s="4"/>
      <c r="H60" s="4"/>
      <c r="I60" s="4"/>
      <c r="J60" s="4"/>
      <c r="K60" s="4"/>
      <c r="L60" s="4"/>
      <c r="M60" s="57"/>
      <c r="N60" s="66"/>
    </row>
    <row r="61" spans="3:14" s="1" customFormat="1" ht="12.75">
      <c r="C61" s="4"/>
      <c r="D61" s="4"/>
      <c r="E61" s="4"/>
      <c r="F61" s="4"/>
      <c r="G61" s="4"/>
      <c r="H61" s="4"/>
      <c r="I61" s="4"/>
      <c r="J61" s="4"/>
      <c r="K61" s="4"/>
      <c r="L61" s="4"/>
      <c r="M61" s="57"/>
      <c r="N61" s="66"/>
    </row>
    <row r="62" spans="3:14" s="1" customFormat="1" ht="12.75">
      <c r="C62" s="4"/>
      <c r="D62" s="4"/>
      <c r="E62" s="4"/>
      <c r="F62" s="4"/>
      <c r="G62" s="4"/>
      <c r="H62" s="4"/>
      <c r="I62" s="4"/>
      <c r="J62" s="4"/>
      <c r="K62" s="4"/>
      <c r="L62" s="4"/>
      <c r="M62" s="57"/>
      <c r="N62" s="66"/>
    </row>
    <row r="63" spans="3:14" s="1" customFormat="1" ht="12.75">
      <c r="C63" s="4"/>
      <c r="D63" s="4"/>
      <c r="E63" s="4"/>
      <c r="F63" s="4"/>
      <c r="G63" s="4"/>
      <c r="H63" s="4"/>
      <c r="I63" s="4"/>
      <c r="J63" s="4"/>
      <c r="K63" s="4"/>
      <c r="L63" s="4"/>
      <c r="M63" s="57"/>
      <c r="N63" s="66"/>
    </row>
    <row r="64" spans="3:14" s="1" customFormat="1" ht="12.75">
      <c r="C64" s="4"/>
      <c r="D64" s="4"/>
      <c r="E64" s="4"/>
      <c r="F64" s="4"/>
      <c r="G64" s="4"/>
      <c r="H64" s="4"/>
      <c r="I64" s="4"/>
      <c r="J64" s="4"/>
      <c r="K64" s="4"/>
      <c r="L64" s="4"/>
      <c r="M64" s="57"/>
      <c r="N64" s="66"/>
    </row>
    <row r="65" spans="3:14" s="1" customFormat="1" ht="12.75">
      <c r="C65" s="4"/>
      <c r="D65" s="4"/>
      <c r="E65" s="4"/>
      <c r="F65" s="4"/>
      <c r="G65" s="4"/>
      <c r="H65" s="4"/>
      <c r="I65" s="4"/>
      <c r="J65" s="4"/>
      <c r="K65" s="4"/>
      <c r="L65" s="4"/>
      <c r="M65" s="57"/>
      <c r="N65" s="66"/>
    </row>
    <row r="66" spans="3:14" s="1" customFormat="1" ht="12.75">
      <c r="C66" s="4"/>
      <c r="D66" s="4"/>
      <c r="E66" s="4"/>
      <c r="F66" s="4"/>
      <c r="G66" s="4"/>
      <c r="H66" s="4"/>
      <c r="I66" s="4"/>
      <c r="J66" s="4"/>
      <c r="K66" s="4"/>
      <c r="L66" s="4"/>
      <c r="M66" s="57"/>
      <c r="N66" s="66"/>
    </row>
    <row r="67" spans="3:14" s="1" customFormat="1" ht="12.75">
      <c r="C67" s="4"/>
      <c r="D67" s="4"/>
      <c r="E67" s="4"/>
      <c r="F67" s="4"/>
      <c r="G67" s="4"/>
      <c r="H67" s="4"/>
      <c r="I67" s="4"/>
      <c r="J67" s="4"/>
      <c r="K67" s="4"/>
      <c r="L67" s="4"/>
      <c r="M67" s="57"/>
      <c r="N67" s="66"/>
    </row>
    <row r="68" spans="3:14" s="1" customFormat="1" ht="12.75">
      <c r="C68" s="4"/>
      <c r="D68" s="4"/>
      <c r="E68" s="4"/>
      <c r="F68" s="4"/>
      <c r="G68" s="4"/>
      <c r="H68" s="4"/>
      <c r="I68" s="4"/>
      <c r="J68" s="4"/>
      <c r="K68" s="4"/>
      <c r="L68" s="4"/>
      <c r="M68" s="57"/>
      <c r="N68" s="66"/>
    </row>
    <row r="69" spans="3:14" s="1" customFormat="1" ht="12.75">
      <c r="C69" s="4"/>
      <c r="D69" s="4"/>
      <c r="E69" s="4"/>
      <c r="F69" s="4"/>
      <c r="G69" s="4"/>
      <c r="H69" s="4"/>
      <c r="I69" s="4"/>
      <c r="J69" s="4"/>
      <c r="K69" s="4"/>
      <c r="L69" s="4"/>
      <c r="M69" s="57"/>
      <c r="N69" s="66"/>
    </row>
    <row r="70" spans="3:14" s="1" customFormat="1" ht="12.75">
      <c r="C70" s="4"/>
      <c r="D70" s="4"/>
      <c r="E70" s="4"/>
      <c r="F70" s="4"/>
      <c r="G70" s="4"/>
      <c r="H70" s="4"/>
      <c r="I70" s="4"/>
      <c r="J70" s="4"/>
      <c r="K70" s="4"/>
      <c r="L70" s="4"/>
      <c r="M70" s="57"/>
      <c r="N70" s="66"/>
    </row>
    <row r="71" spans="3:14" s="1" customFormat="1" ht="12.75">
      <c r="C71" s="4"/>
      <c r="D71" s="4"/>
      <c r="E71" s="4"/>
      <c r="F71" s="4"/>
      <c r="G71" s="4"/>
      <c r="H71" s="4"/>
      <c r="I71" s="4"/>
      <c r="J71" s="4"/>
      <c r="K71" s="4"/>
      <c r="L71" s="4"/>
      <c r="M71" s="57"/>
      <c r="N71" s="66"/>
    </row>
    <row r="72" spans="3:14" s="1" customFormat="1" ht="12.75">
      <c r="C72" s="4"/>
      <c r="D72" s="4"/>
      <c r="E72" s="4"/>
      <c r="F72" s="4"/>
      <c r="G72" s="4"/>
      <c r="H72" s="4"/>
      <c r="I72" s="4"/>
      <c r="J72" s="4"/>
      <c r="K72" s="4"/>
      <c r="L72" s="4"/>
      <c r="M72" s="57"/>
      <c r="N72" s="66"/>
    </row>
    <row r="73" spans="3:14" s="1" customFormat="1" ht="12.75">
      <c r="C73" s="4"/>
      <c r="D73" s="4"/>
      <c r="E73" s="4"/>
      <c r="F73" s="4"/>
      <c r="G73" s="4"/>
      <c r="H73" s="4"/>
      <c r="I73" s="4"/>
      <c r="J73" s="4"/>
      <c r="K73" s="4"/>
      <c r="L73" s="4"/>
      <c r="M73" s="57"/>
      <c r="N73" s="66"/>
    </row>
    <row r="74" spans="3:14" s="1" customFormat="1" ht="12.75">
      <c r="C74" s="4"/>
      <c r="D74" s="4"/>
      <c r="E74" s="4"/>
      <c r="F74" s="4"/>
      <c r="G74" s="4"/>
      <c r="H74" s="4"/>
      <c r="I74" s="4"/>
      <c r="J74" s="4"/>
      <c r="K74" s="4"/>
      <c r="L74" s="4"/>
      <c r="M74" s="57"/>
      <c r="N74" s="66"/>
    </row>
    <row r="75" spans="3:14" s="1" customFormat="1" ht="12.75">
      <c r="C75" s="4"/>
      <c r="D75" s="4"/>
      <c r="E75" s="4"/>
      <c r="F75" s="4"/>
      <c r="G75" s="4"/>
      <c r="H75" s="4"/>
      <c r="I75" s="4"/>
      <c r="J75" s="4"/>
      <c r="K75" s="4"/>
      <c r="L75" s="4"/>
      <c r="M75" s="57"/>
      <c r="N75" s="66"/>
    </row>
    <row r="76" spans="3:14" s="1" customFormat="1" ht="12.75">
      <c r="C76" s="4"/>
      <c r="D76" s="4"/>
      <c r="E76" s="4"/>
      <c r="F76" s="4"/>
      <c r="G76" s="4"/>
      <c r="H76" s="4"/>
      <c r="I76" s="4"/>
      <c r="J76" s="4"/>
      <c r="K76" s="4"/>
      <c r="L76" s="4"/>
      <c r="M76" s="57"/>
      <c r="N76" s="66"/>
    </row>
    <row r="77" spans="3:14" s="1" customFormat="1" ht="12.75">
      <c r="C77" s="4"/>
      <c r="D77" s="4"/>
      <c r="E77" s="4"/>
      <c r="F77" s="4"/>
      <c r="G77" s="4"/>
      <c r="H77" s="4"/>
      <c r="I77" s="4"/>
      <c r="J77" s="4"/>
      <c r="K77" s="4"/>
      <c r="L77" s="4"/>
      <c r="M77" s="57"/>
      <c r="N77" s="66"/>
    </row>
    <row r="78" spans="3:14" s="1" customFormat="1" ht="12.75">
      <c r="C78" s="4"/>
      <c r="D78" s="4"/>
      <c r="E78" s="4"/>
      <c r="F78" s="4"/>
      <c r="G78" s="4"/>
      <c r="H78" s="4"/>
      <c r="I78" s="4"/>
      <c r="J78" s="4"/>
      <c r="K78" s="4"/>
      <c r="L78" s="4"/>
      <c r="M78" s="57"/>
      <c r="N78" s="66"/>
    </row>
    <row r="79" spans="3:14" s="1" customFormat="1" ht="12.75">
      <c r="C79" s="4"/>
      <c r="D79" s="4"/>
      <c r="E79" s="4"/>
      <c r="F79" s="4"/>
      <c r="G79" s="4"/>
      <c r="H79" s="4"/>
      <c r="I79" s="4"/>
      <c r="J79" s="4"/>
      <c r="K79" s="4"/>
      <c r="L79" s="4"/>
      <c r="M79" s="57"/>
      <c r="N79" s="66"/>
    </row>
    <row r="80" spans="3:14" s="1" customFormat="1" ht="12.75">
      <c r="C80" s="4"/>
      <c r="D80" s="4"/>
      <c r="E80" s="4"/>
      <c r="F80" s="4"/>
      <c r="G80" s="4"/>
      <c r="H80" s="4"/>
      <c r="I80" s="4"/>
      <c r="J80" s="4"/>
      <c r="K80" s="4"/>
      <c r="L80" s="4"/>
      <c r="M80" s="57"/>
      <c r="N80" s="66"/>
    </row>
    <row r="81" spans="3:14" s="1" customFormat="1" ht="12.75">
      <c r="C81" s="4"/>
      <c r="D81" s="4"/>
      <c r="E81" s="4"/>
      <c r="F81" s="4"/>
      <c r="G81" s="4"/>
      <c r="H81" s="4"/>
      <c r="I81" s="4"/>
      <c r="J81" s="4"/>
      <c r="K81" s="4"/>
      <c r="L81" s="4"/>
      <c r="M81" s="57"/>
      <c r="N81" s="66"/>
    </row>
    <row r="82" spans="3:14" s="1" customFormat="1" ht="12.75">
      <c r="C82" s="4"/>
      <c r="D82" s="4"/>
      <c r="E82" s="4"/>
      <c r="F82" s="4"/>
      <c r="G82" s="4"/>
      <c r="H82" s="4"/>
      <c r="I82" s="4"/>
      <c r="J82" s="4"/>
      <c r="K82" s="4"/>
      <c r="L82" s="4"/>
      <c r="M82" s="57"/>
      <c r="N82" s="66"/>
    </row>
    <row r="83" spans="3:14" s="1" customFormat="1" ht="12.75">
      <c r="C83" s="4"/>
      <c r="D83" s="4"/>
      <c r="E83" s="4"/>
      <c r="F83" s="4"/>
      <c r="G83" s="4"/>
      <c r="H83" s="4"/>
      <c r="I83" s="4"/>
      <c r="J83" s="4"/>
      <c r="K83" s="4"/>
      <c r="L83" s="4"/>
      <c r="M83" s="57"/>
      <c r="N83" s="66"/>
    </row>
    <row r="84" spans="3:14" s="1" customFormat="1" ht="12.75">
      <c r="C84" s="4"/>
      <c r="D84" s="4"/>
      <c r="E84" s="4"/>
      <c r="F84" s="4"/>
      <c r="G84" s="4"/>
      <c r="H84" s="4"/>
      <c r="I84" s="4"/>
      <c r="J84" s="4"/>
      <c r="K84" s="4"/>
      <c r="L84" s="4"/>
      <c r="M84" s="57"/>
      <c r="N84" s="66"/>
    </row>
    <row r="85" spans="3:14" s="1" customFormat="1" ht="12.75">
      <c r="C85" s="4"/>
      <c r="D85" s="4"/>
      <c r="E85" s="4"/>
      <c r="F85" s="4"/>
      <c r="G85" s="4"/>
      <c r="H85" s="4"/>
      <c r="I85" s="4"/>
      <c r="J85" s="4"/>
      <c r="K85" s="4"/>
      <c r="L85" s="4"/>
      <c r="M85" s="57"/>
      <c r="N85" s="66"/>
    </row>
    <row r="86" spans="3:14" s="1" customFormat="1" ht="12.75">
      <c r="C86" s="4"/>
      <c r="D86" s="4"/>
      <c r="E86" s="4"/>
      <c r="F86" s="4"/>
      <c r="G86" s="4"/>
      <c r="H86" s="4"/>
      <c r="I86" s="4"/>
      <c r="J86" s="4"/>
      <c r="K86" s="4"/>
      <c r="L86" s="4"/>
      <c r="M86" s="57"/>
      <c r="N86" s="66"/>
    </row>
    <row r="87" spans="3:14" s="1" customFormat="1" ht="12.75">
      <c r="C87" s="4"/>
      <c r="D87" s="4"/>
      <c r="E87" s="4"/>
      <c r="F87" s="4"/>
      <c r="G87" s="4"/>
      <c r="H87" s="4"/>
      <c r="I87" s="4"/>
      <c r="J87" s="4"/>
      <c r="K87" s="4"/>
      <c r="L87" s="4"/>
      <c r="M87" s="57"/>
      <c r="N87" s="66"/>
    </row>
    <row r="88" spans="3:14" s="1" customFormat="1" ht="12.75">
      <c r="C88" s="4"/>
      <c r="D88" s="4"/>
      <c r="E88" s="4"/>
      <c r="F88" s="4"/>
      <c r="G88" s="4"/>
      <c r="H88" s="4"/>
      <c r="I88" s="4"/>
      <c r="J88" s="4"/>
      <c r="K88" s="4"/>
      <c r="L88" s="4"/>
      <c r="M88" s="57"/>
      <c r="N88" s="66"/>
    </row>
    <row r="89" spans="3:14" s="1" customFormat="1" ht="12.75">
      <c r="C89" s="4"/>
      <c r="D89" s="4"/>
      <c r="E89" s="4"/>
      <c r="F89" s="4"/>
      <c r="G89" s="4"/>
      <c r="H89" s="4"/>
      <c r="I89" s="4"/>
      <c r="J89" s="4"/>
      <c r="K89" s="4"/>
      <c r="L89" s="4"/>
      <c r="M89" s="57"/>
      <c r="N89" s="66"/>
    </row>
    <row r="90" spans="3:14" s="1" customFormat="1" ht="12.75">
      <c r="C90" s="4"/>
      <c r="D90" s="4"/>
      <c r="E90" s="4"/>
      <c r="F90" s="4"/>
      <c r="G90" s="4"/>
      <c r="H90" s="4"/>
      <c r="I90" s="4"/>
      <c r="J90" s="4"/>
      <c r="K90" s="4"/>
      <c r="L90" s="4"/>
      <c r="M90" s="57"/>
      <c r="N90" s="66"/>
    </row>
    <row r="91" spans="3:14" s="1" customFormat="1" ht="12.75">
      <c r="C91" s="4"/>
      <c r="D91" s="4"/>
      <c r="E91" s="4"/>
      <c r="F91" s="4"/>
      <c r="G91" s="4"/>
      <c r="H91" s="4"/>
      <c r="I91" s="4"/>
      <c r="J91" s="4"/>
      <c r="K91" s="4"/>
      <c r="L91" s="4"/>
      <c r="M91" s="57"/>
      <c r="N91" s="66"/>
    </row>
    <row r="92" spans="3:14" s="1" customFormat="1" ht="12.75">
      <c r="C92" s="4"/>
      <c r="D92" s="4"/>
      <c r="E92" s="4"/>
      <c r="F92" s="4"/>
      <c r="G92" s="4"/>
      <c r="H92" s="4"/>
      <c r="I92" s="4"/>
      <c r="J92" s="4"/>
      <c r="K92" s="4"/>
      <c r="L92" s="4"/>
      <c r="M92" s="57"/>
      <c r="N92" s="66"/>
    </row>
    <row r="93" spans="3:14" s="1" customFormat="1" ht="12.75">
      <c r="C93" s="4"/>
      <c r="D93" s="4"/>
      <c r="E93" s="4"/>
      <c r="F93" s="4"/>
      <c r="G93" s="4"/>
      <c r="H93" s="4"/>
      <c r="I93" s="4"/>
      <c r="J93" s="4"/>
      <c r="K93" s="4"/>
      <c r="L93" s="4"/>
      <c r="M93" s="57"/>
      <c r="N93" s="66"/>
    </row>
    <row r="94" spans="3:14" s="1" customFormat="1" ht="12.75">
      <c r="C94" s="4"/>
      <c r="D94" s="4"/>
      <c r="E94" s="4"/>
      <c r="F94" s="4"/>
      <c r="G94" s="4"/>
      <c r="H94" s="4"/>
      <c r="I94" s="4"/>
      <c r="J94" s="4"/>
      <c r="K94" s="4"/>
      <c r="L94" s="4"/>
      <c r="M94" s="57"/>
      <c r="N94" s="66"/>
    </row>
    <row r="95" spans="3:14" s="1" customFormat="1" ht="12.75">
      <c r="C95" s="4"/>
      <c r="D95" s="4"/>
      <c r="E95" s="4"/>
      <c r="F95" s="4"/>
      <c r="G95" s="4"/>
      <c r="H95" s="4"/>
      <c r="I95" s="4"/>
      <c r="J95" s="4"/>
      <c r="K95" s="4"/>
      <c r="L95" s="4"/>
      <c r="M95" s="57"/>
      <c r="N95" s="66"/>
    </row>
    <row r="96" spans="3:14" s="1" customFormat="1" ht="12.75">
      <c r="C96" s="4"/>
      <c r="D96" s="4"/>
      <c r="E96" s="4"/>
      <c r="F96" s="4"/>
      <c r="G96" s="4"/>
      <c r="H96" s="4"/>
      <c r="I96" s="4"/>
      <c r="J96" s="4"/>
      <c r="K96" s="4"/>
      <c r="L96" s="4"/>
      <c r="M96" s="57"/>
      <c r="N96" s="66"/>
    </row>
    <row r="97" spans="3:14" s="1" customFormat="1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57"/>
      <c r="N97" s="66"/>
    </row>
    <row r="98" spans="3:14" s="1" customFormat="1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57"/>
      <c r="N98" s="66"/>
    </row>
    <row r="99" spans="3:14" s="1" customFormat="1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57"/>
      <c r="N99" s="66"/>
    </row>
    <row r="100" spans="3:14" s="1" customFormat="1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7"/>
      <c r="N100" s="66"/>
    </row>
    <row r="101" spans="3:14" s="1" customFormat="1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57"/>
      <c r="N101" s="66"/>
    </row>
    <row r="102" spans="3:14" s="1" customFormat="1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57"/>
      <c r="N102" s="66"/>
    </row>
    <row r="103" spans="3:14" s="1" customFormat="1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57"/>
      <c r="N103" s="66"/>
    </row>
    <row r="104" spans="3:14" s="1" customFormat="1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57"/>
      <c r="N104" s="66"/>
    </row>
    <row r="105" spans="3:14" s="1" customFormat="1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57"/>
      <c r="N105" s="66"/>
    </row>
    <row r="106" spans="3:14" s="1" customFormat="1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57"/>
      <c r="N106" s="66"/>
    </row>
    <row r="107" spans="3:14" s="1" customFormat="1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57"/>
      <c r="N107" s="66"/>
    </row>
    <row r="108" spans="3:14" s="1" customFormat="1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57"/>
      <c r="N108" s="66"/>
    </row>
    <row r="109" spans="3:14" s="1" customFormat="1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57"/>
      <c r="N109" s="66"/>
    </row>
    <row r="110" spans="3:14" s="1" customFormat="1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57"/>
      <c r="N110" s="66"/>
    </row>
    <row r="111" spans="3:14" s="1" customFormat="1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57"/>
      <c r="N111" s="66"/>
    </row>
    <row r="112" spans="3:14" s="1" customFormat="1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57"/>
      <c r="N112" s="66"/>
    </row>
    <row r="113" spans="3:14" s="1" customFormat="1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57"/>
      <c r="N113" s="66"/>
    </row>
    <row r="114" spans="3:14" s="1" customFormat="1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57"/>
      <c r="N114" s="66"/>
    </row>
    <row r="115" spans="3:14" s="1" customFormat="1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57"/>
      <c r="N115" s="66"/>
    </row>
    <row r="116" spans="3:14" s="1" customFormat="1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57"/>
      <c r="N116" s="66"/>
    </row>
    <row r="117" spans="3:14" s="1" customFormat="1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57"/>
      <c r="N117" s="66"/>
    </row>
    <row r="118" spans="3:14" s="1" customFormat="1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57"/>
      <c r="N118" s="66"/>
    </row>
    <row r="119" spans="3:14" s="1" customFormat="1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57"/>
      <c r="N119" s="66"/>
    </row>
    <row r="120" spans="3:14" s="1" customFormat="1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57"/>
      <c r="N120" s="66"/>
    </row>
    <row r="121" spans="3:14" s="1" customFormat="1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57"/>
      <c r="N121" s="66"/>
    </row>
    <row r="122" spans="3:14" s="1" customFormat="1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57"/>
      <c r="N122" s="66"/>
    </row>
    <row r="123" spans="3:14" s="1" customFormat="1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57"/>
      <c r="N123" s="66"/>
    </row>
    <row r="124" spans="3:14" s="1" customFormat="1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57"/>
      <c r="N124" s="66"/>
    </row>
    <row r="125" spans="3:14" s="1" customFormat="1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57"/>
      <c r="N125" s="66"/>
    </row>
    <row r="126" spans="3:14" s="1" customFormat="1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57"/>
      <c r="N126" s="66"/>
    </row>
    <row r="127" spans="3:14" s="1" customFormat="1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57"/>
      <c r="N127" s="66"/>
    </row>
    <row r="128" spans="3:14" s="1" customFormat="1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57"/>
      <c r="N128" s="66"/>
    </row>
    <row r="129" spans="3:14" s="1" customFormat="1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57"/>
      <c r="N129" s="66"/>
    </row>
    <row r="130" spans="3:14" s="1" customFormat="1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57"/>
      <c r="N130" s="66"/>
    </row>
    <row r="131" spans="3:14" s="1" customFormat="1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57"/>
      <c r="N131" s="66"/>
    </row>
    <row r="132" spans="3:14" s="1" customFormat="1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57"/>
      <c r="N132" s="66"/>
    </row>
    <row r="133" spans="3:14" s="1" customFormat="1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57"/>
      <c r="N133" s="66"/>
    </row>
    <row r="134" spans="3:14" s="1" customFormat="1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57"/>
      <c r="N134" s="66"/>
    </row>
    <row r="135" spans="3:14" s="1" customFormat="1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57"/>
      <c r="N135" s="66"/>
    </row>
    <row r="136" spans="3:14" s="1" customFormat="1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57"/>
      <c r="N136" s="66"/>
    </row>
    <row r="137" spans="3:14" s="1" customFormat="1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57"/>
      <c r="N137" s="66"/>
    </row>
    <row r="138" spans="3:14" s="1" customFormat="1" ht="12.7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57"/>
      <c r="N138" s="66"/>
    </row>
    <row r="139" spans="3:14" s="1" customFormat="1" ht="12.7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57"/>
      <c r="N139" s="66"/>
    </row>
    <row r="140" spans="3:14" s="1" customFormat="1" ht="12.7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57"/>
      <c r="N140" s="66"/>
    </row>
    <row r="141" spans="3:14" s="1" customFormat="1" ht="12.7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57"/>
      <c r="N141" s="66"/>
    </row>
    <row r="142" spans="3:14" s="1" customFormat="1" ht="12.7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57"/>
      <c r="N142" s="66"/>
    </row>
    <row r="143" spans="3:14" s="1" customFormat="1" ht="12.7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57"/>
      <c r="N143" s="66"/>
    </row>
    <row r="144" spans="3:14" s="1" customFormat="1" ht="12.7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57"/>
      <c r="N144" s="66"/>
    </row>
    <row r="145" spans="3:14" s="1" customFormat="1" ht="12.7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57"/>
      <c r="N145" s="66"/>
    </row>
    <row r="146" spans="3:14" s="1" customFormat="1" ht="12.7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57"/>
      <c r="N146" s="66"/>
    </row>
    <row r="147" spans="3:14" s="1" customFormat="1" ht="12.7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57"/>
      <c r="N147" s="66"/>
    </row>
    <row r="148" spans="3:14" s="1" customFormat="1" ht="12.7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57"/>
      <c r="N148" s="66"/>
    </row>
  </sheetData>
  <sheetProtection/>
  <mergeCells count="17">
    <mergeCell ref="H40:I40"/>
    <mergeCell ref="F38:G38"/>
    <mergeCell ref="A1:M1"/>
    <mergeCell ref="C4:D4"/>
    <mergeCell ref="F37:G37"/>
    <mergeCell ref="H37:I37"/>
    <mergeCell ref="J37:K37"/>
    <mergeCell ref="J41:K41"/>
    <mergeCell ref="J39:K39"/>
    <mergeCell ref="H38:I38"/>
    <mergeCell ref="F39:G39"/>
    <mergeCell ref="H39:I39"/>
    <mergeCell ref="J40:K40"/>
    <mergeCell ref="J38:K38"/>
    <mergeCell ref="F41:G41"/>
    <mergeCell ref="H41:I41"/>
    <mergeCell ref="F40:G40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O129"/>
  <sheetViews>
    <sheetView zoomScale="80" zoomScaleNormal="80" zoomScalePageLayoutView="0" workbookViewId="0" topLeftCell="A13">
      <selection activeCell="B22" sqref="B22:E22"/>
    </sheetView>
  </sheetViews>
  <sheetFormatPr defaultColWidth="9.140625" defaultRowHeight="12.75"/>
  <cols>
    <col min="1" max="1" width="7.00390625" style="0" customWidth="1"/>
    <col min="2" max="2" width="21.57421875" style="0" customWidth="1"/>
    <col min="3" max="5" width="17.7109375" style="3" customWidth="1"/>
    <col min="6" max="11" width="4.7109375" style="3" customWidth="1"/>
    <col min="12" max="12" width="8.7109375" style="3" customWidth="1"/>
    <col min="13" max="13" width="5.28125" style="50" customWidth="1"/>
    <col min="14" max="14" width="9.140625" style="76" customWidth="1"/>
  </cols>
  <sheetData>
    <row r="1" spans="1:14" s="91" customFormat="1" ht="16.5" customHeight="1">
      <c r="A1" s="508" t="s">
        <v>454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90"/>
    </row>
    <row r="2" spans="1:14" s="96" customFormat="1" ht="30" customHeight="1">
      <c r="A2" s="92"/>
      <c r="B2" s="93"/>
      <c r="C2" s="97"/>
      <c r="D2" s="98" t="s">
        <v>157</v>
      </c>
      <c r="E2" s="97"/>
      <c r="F2" s="93"/>
      <c r="G2" s="93"/>
      <c r="H2" s="93"/>
      <c r="I2" s="93"/>
      <c r="J2" s="93"/>
      <c r="K2" s="93"/>
      <c r="L2" s="93"/>
      <c r="M2" s="94"/>
      <c r="N2" s="95"/>
    </row>
    <row r="3" spans="1:14" s="96" customFormat="1" ht="24.75" customHeight="1">
      <c r="A3" s="92"/>
      <c r="B3" s="352"/>
      <c r="C3" s="353" t="s">
        <v>453</v>
      </c>
      <c r="D3" s="354"/>
      <c r="E3" s="353"/>
      <c r="F3" s="352"/>
      <c r="G3" s="352"/>
      <c r="H3" s="93"/>
      <c r="J3" s="93"/>
      <c r="K3" s="93"/>
      <c r="L3" s="93"/>
      <c r="M3" s="94"/>
      <c r="N3" s="95"/>
    </row>
    <row r="4" spans="1:14" s="227" customFormat="1" ht="13.5">
      <c r="A4" s="207" t="s">
        <v>1</v>
      </c>
      <c r="B4" s="20"/>
      <c r="C4" s="506" t="s">
        <v>326</v>
      </c>
      <c r="D4" s="506"/>
      <c r="E4" s="21"/>
      <c r="F4" s="75"/>
      <c r="G4" s="75"/>
      <c r="H4" s="75"/>
      <c r="I4" s="75"/>
      <c r="J4" s="75"/>
      <c r="K4" s="75"/>
      <c r="L4" s="75"/>
      <c r="M4" s="50"/>
      <c r="N4" s="76"/>
    </row>
    <row r="5" spans="1:14" s="227" customFormat="1" ht="13.5">
      <c r="A5" s="207" t="s">
        <v>2</v>
      </c>
      <c r="B5" s="20"/>
      <c r="C5" s="22" t="s">
        <v>4</v>
      </c>
      <c r="D5" s="21"/>
      <c r="E5" s="21"/>
      <c r="F5" s="75"/>
      <c r="G5" s="75"/>
      <c r="H5" s="75"/>
      <c r="I5" s="75"/>
      <c r="J5" s="75"/>
      <c r="K5" s="75"/>
      <c r="L5" s="75"/>
      <c r="M5" s="50"/>
      <c r="N5" s="76"/>
    </row>
    <row r="6" spans="1:14" s="227" customFormat="1" ht="13.5">
      <c r="A6" s="207" t="s">
        <v>3</v>
      </c>
      <c r="B6" s="20"/>
      <c r="C6" s="22" t="s">
        <v>45</v>
      </c>
      <c r="D6" s="21"/>
      <c r="E6" s="21"/>
      <c r="F6" s="75"/>
      <c r="G6" s="75"/>
      <c r="H6" s="75"/>
      <c r="I6" s="75"/>
      <c r="J6" s="75"/>
      <c r="K6" s="75"/>
      <c r="L6" s="75"/>
      <c r="M6" s="50"/>
      <c r="N6" s="76"/>
    </row>
    <row r="7" spans="3:14" s="1" customFormat="1" ht="12.75">
      <c r="C7" s="4"/>
      <c r="D7" s="4"/>
      <c r="E7" s="4"/>
      <c r="F7" s="4"/>
      <c r="G7" s="4"/>
      <c r="H7" s="4"/>
      <c r="I7" s="4"/>
      <c r="J7" s="4"/>
      <c r="K7" s="4"/>
      <c r="L7" s="4"/>
      <c r="M7" s="57"/>
      <c r="N7" s="66"/>
    </row>
    <row r="8" spans="1:14" s="1" customFormat="1" ht="12.75" customHeight="1">
      <c r="A8" s="6" t="s">
        <v>19</v>
      </c>
      <c r="B8" s="7"/>
      <c r="C8" s="8"/>
      <c r="D8" s="8"/>
      <c r="E8" s="8"/>
      <c r="F8" s="7"/>
      <c r="G8" s="7"/>
      <c r="H8" s="7"/>
      <c r="I8" s="7"/>
      <c r="J8" s="7"/>
      <c r="K8" s="7"/>
      <c r="L8" s="7"/>
      <c r="M8" s="58"/>
      <c r="N8" s="66"/>
    </row>
    <row r="9" spans="1:14" s="1" customFormat="1" ht="25.5" customHeight="1">
      <c r="A9" s="2" t="s">
        <v>8</v>
      </c>
      <c r="B9" s="18" t="s">
        <v>9</v>
      </c>
      <c r="C9" s="18" t="s">
        <v>5</v>
      </c>
      <c r="D9" s="18" t="s">
        <v>6</v>
      </c>
      <c r="E9" s="18" t="s">
        <v>7</v>
      </c>
      <c r="F9" s="2" t="s">
        <v>38</v>
      </c>
      <c r="G9" s="2" t="s">
        <v>39</v>
      </c>
      <c r="H9" s="2" t="s">
        <v>40</v>
      </c>
      <c r="I9" s="2" t="s">
        <v>41</v>
      </c>
      <c r="J9" s="2" t="s">
        <v>42</v>
      </c>
      <c r="K9" s="2" t="s">
        <v>43</v>
      </c>
      <c r="L9" s="17" t="s">
        <v>10</v>
      </c>
      <c r="M9" s="59" t="s">
        <v>44</v>
      </c>
      <c r="N9" s="66"/>
    </row>
    <row r="10" spans="1:14" s="1" customFormat="1" ht="12.75">
      <c r="A10" s="5" t="s">
        <v>22</v>
      </c>
      <c r="B10" s="137" t="s">
        <v>61</v>
      </c>
      <c r="C10" s="56">
        <v>1958</v>
      </c>
      <c r="D10" s="423" t="s">
        <v>447</v>
      </c>
      <c r="E10" s="55" t="s">
        <v>448</v>
      </c>
      <c r="F10" s="12">
        <f>18+18+17+18+19</f>
        <v>90</v>
      </c>
      <c r="G10" s="12">
        <f>19+17+19+18+20</f>
        <v>93</v>
      </c>
      <c r="H10" s="12">
        <f>19+19+18+18+17</f>
        <v>91</v>
      </c>
      <c r="I10" s="12">
        <f>17+15+18+19+19</f>
        <v>88</v>
      </c>
      <c r="J10" s="12"/>
      <c r="K10" s="12"/>
      <c r="L10" s="9">
        <f>SUM(F10:K10)</f>
        <v>362</v>
      </c>
      <c r="M10" s="60"/>
      <c r="N10" s="66"/>
    </row>
    <row r="11" spans="1:14" s="1" customFormat="1" ht="12.75">
      <c r="A11" s="5" t="s">
        <v>23</v>
      </c>
      <c r="B11" s="137" t="s">
        <v>156</v>
      </c>
      <c r="C11" s="55">
        <v>1990</v>
      </c>
      <c r="D11" s="155" t="s">
        <v>439</v>
      </c>
      <c r="E11" s="110" t="s">
        <v>341</v>
      </c>
      <c r="F11" s="12">
        <f>17+18+16+15+18</f>
        <v>84</v>
      </c>
      <c r="G11" s="12">
        <f>17+16+16+19+15</f>
        <v>83</v>
      </c>
      <c r="H11" s="12">
        <f>16+18+18+14+17</f>
        <v>83</v>
      </c>
      <c r="I11" s="12">
        <f>19+17+16+19+20</f>
        <v>91</v>
      </c>
      <c r="J11" s="12"/>
      <c r="K11" s="12"/>
      <c r="L11" s="9">
        <f>SUM(F11:K11)</f>
        <v>341</v>
      </c>
      <c r="M11" s="60"/>
      <c r="N11" s="66"/>
    </row>
    <row r="12" spans="1:14" s="1" customFormat="1" ht="12.75">
      <c r="A12" s="5" t="s">
        <v>24</v>
      </c>
      <c r="B12" s="15" t="s">
        <v>259</v>
      </c>
      <c r="C12" s="4">
        <v>1994</v>
      </c>
      <c r="D12" s="4" t="s">
        <v>438</v>
      </c>
      <c r="E12" s="4" t="s">
        <v>354</v>
      </c>
      <c r="F12" s="12">
        <v>78</v>
      </c>
      <c r="G12" s="12">
        <v>84</v>
      </c>
      <c r="H12" s="12">
        <v>75</v>
      </c>
      <c r="I12" s="12">
        <f>17+14+15+15+15</f>
        <v>76</v>
      </c>
      <c r="J12" s="12"/>
      <c r="K12" s="12"/>
      <c r="L12" s="9">
        <f>SUM(F12:K12)</f>
        <v>313</v>
      </c>
      <c r="M12" s="60"/>
      <c r="N12" s="66"/>
    </row>
    <row r="13" spans="1:14" s="1" customFormat="1" ht="12.75" customHeight="1">
      <c r="A13" s="5" t="s">
        <v>25</v>
      </c>
      <c r="B13" s="377" t="s">
        <v>435</v>
      </c>
      <c r="C13" s="417">
        <v>1996</v>
      </c>
      <c r="D13" s="417" t="s">
        <v>436</v>
      </c>
      <c r="E13" s="55" t="s">
        <v>341</v>
      </c>
      <c r="F13" s="12">
        <f>16+15+12+15+15</f>
        <v>73</v>
      </c>
      <c r="G13" s="12">
        <f>14+18+11+11+8</f>
        <v>62</v>
      </c>
      <c r="H13" s="12">
        <f>16+12+15+11+15</f>
        <v>69</v>
      </c>
      <c r="I13" s="12">
        <f>15+13+15+17+11</f>
        <v>71</v>
      </c>
      <c r="J13" s="12"/>
      <c r="K13" s="12"/>
      <c r="L13" s="9">
        <f>SUM(F13:K13)</f>
        <v>275</v>
      </c>
      <c r="M13" s="60"/>
      <c r="N13" s="66"/>
    </row>
    <row r="14" spans="1:14" s="1" customFormat="1" ht="24.75" customHeight="1">
      <c r="A14" s="6" t="s">
        <v>20</v>
      </c>
      <c r="B14" s="7"/>
      <c r="C14" s="8"/>
      <c r="D14" s="8"/>
      <c r="E14" s="8"/>
      <c r="F14" s="7"/>
      <c r="G14" s="7"/>
      <c r="H14" s="7"/>
      <c r="I14" s="7"/>
      <c r="J14" s="7"/>
      <c r="K14" s="7"/>
      <c r="L14" s="7"/>
      <c r="M14" s="58"/>
      <c r="N14" s="66"/>
    </row>
    <row r="15" spans="1:15" s="89" customFormat="1" ht="25.5" customHeight="1">
      <c r="A15" s="78" t="s">
        <v>8</v>
      </c>
      <c r="B15" s="18" t="s">
        <v>9</v>
      </c>
      <c r="C15" s="18" t="s">
        <v>5</v>
      </c>
      <c r="D15" s="18" t="s">
        <v>6</v>
      </c>
      <c r="E15" s="18" t="s">
        <v>7</v>
      </c>
      <c r="F15" s="78" t="s">
        <v>38</v>
      </c>
      <c r="G15" s="78" t="s">
        <v>39</v>
      </c>
      <c r="H15" s="78" t="s">
        <v>40</v>
      </c>
      <c r="I15" s="78" t="s">
        <v>41</v>
      </c>
      <c r="J15" s="78" t="s">
        <v>42</v>
      </c>
      <c r="K15" s="78" t="s">
        <v>43</v>
      </c>
      <c r="L15" s="17" t="s">
        <v>10</v>
      </c>
      <c r="M15" s="88" t="s">
        <v>44</v>
      </c>
      <c r="N15" s="67" t="s">
        <v>100</v>
      </c>
      <c r="O15" s="27"/>
    </row>
    <row r="16" spans="1:14" s="1" customFormat="1" ht="12.75">
      <c r="A16" s="5" t="s">
        <v>22</v>
      </c>
      <c r="B16" s="137" t="s">
        <v>49</v>
      </c>
      <c r="C16" s="55">
        <v>1954</v>
      </c>
      <c r="D16" s="4" t="s">
        <v>444</v>
      </c>
      <c r="E16" s="369" t="s">
        <v>341</v>
      </c>
      <c r="F16" s="4">
        <f>16+18+18+19+19</f>
        <v>90</v>
      </c>
      <c r="G16" s="4">
        <f>20+18+19+18+19</f>
        <v>94</v>
      </c>
      <c r="H16" s="4">
        <f>18+19+18+18+19</f>
        <v>92</v>
      </c>
      <c r="I16" s="4">
        <f>18+18+20+18+17</f>
        <v>91</v>
      </c>
      <c r="J16" s="4">
        <f>20+20+15+15+18</f>
        <v>88</v>
      </c>
      <c r="K16" s="4">
        <f>19+18+19+18+16</f>
        <v>90</v>
      </c>
      <c r="L16" s="9">
        <f aca="true" t="shared" si="0" ref="L16:L23">SUM(F16:K16)</f>
        <v>545</v>
      </c>
      <c r="M16" s="57" t="s">
        <v>266</v>
      </c>
      <c r="N16" s="66">
        <f aca="true" t="shared" si="1" ref="N16:N23">SUM(F16:I16)</f>
        <v>367</v>
      </c>
    </row>
    <row r="17" spans="1:14" s="1" customFormat="1" ht="12.75">
      <c r="A17" s="5" t="s">
        <v>23</v>
      </c>
      <c r="B17" s="137" t="s">
        <v>159</v>
      </c>
      <c r="C17" s="55">
        <v>1972</v>
      </c>
      <c r="D17" s="4" t="s">
        <v>450</v>
      </c>
      <c r="E17" s="55" t="s">
        <v>448</v>
      </c>
      <c r="F17" s="4">
        <f>15+19+19+15+17</f>
        <v>85</v>
      </c>
      <c r="G17" s="4">
        <f>18+18+19+17+17</f>
        <v>89</v>
      </c>
      <c r="H17" s="4">
        <f>19+18+19+18+14</f>
        <v>88</v>
      </c>
      <c r="I17" s="4">
        <f>16+18+19+18+18</f>
        <v>89</v>
      </c>
      <c r="J17" s="4">
        <f>17+18+18+19+18</f>
        <v>90</v>
      </c>
      <c r="K17" s="4">
        <f>18+18+19+19+16</f>
        <v>90</v>
      </c>
      <c r="L17" s="9">
        <f t="shared" si="0"/>
        <v>531</v>
      </c>
      <c r="M17" s="57" t="s">
        <v>265</v>
      </c>
      <c r="N17" s="66">
        <f t="shared" si="1"/>
        <v>351</v>
      </c>
    </row>
    <row r="18" spans="1:14" s="1" customFormat="1" ht="12.75">
      <c r="A18" s="5" t="s">
        <v>24</v>
      </c>
      <c r="B18" s="137" t="s">
        <v>51</v>
      </c>
      <c r="C18" s="109">
        <v>1940</v>
      </c>
      <c r="D18" s="4" t="s">
        <v>456</v>
      </c>
      <c r="E18" s="107" t="s">
        <v>341</v>
      </c>
      <c r="F18" s="4">
        <f>17+15+19+18+16</f>
        <v>85</v>
      </c>
      <c r="G18" s="4">
        <f>17+18+17+16+18</f>
        <v>86</v>
      </c>
      <c r="H18" s="4">
        <f>16+17+15+17+18</f>
        <v>83</v>
      </c>
      <c r="I18" s="4">
        <f>18+17+17+16+19</f>
        <v>87</v>
      </c>
      <c r="J18" s="4">
        <f>18+14+17+19+16</f>
        <v>84</v>
      </c>
      <c r="K18" s="4">
        <f>18+18+19+19+19</f>
        <v>93</v>
      </c>
      <c r="L18" s="9">
        <f t="shared" si="0"/>
        <v>518</v>
      </c>
      <c r="M18" s="57"/>
      <c r="N18" s="66">
        <f t="shared" si="1"/>
        <v>341</v>
      </c>
    </row>
    <row r="19" spans="1:14" s="1" customFormat="1" ht="12.75">
      <c r="A19" s="5" t="s">
        <v>25</v>
      </c>
      <c r="B19" s="365" t="s">
        <v>310</v>
      </c>
      <c r="C19" s="109">
        <v>1946</v>
      </c>
      <c r="D19" s="332"/>
      <c r="E19" s="4" t="s">
        <v>434</v>
      </c>
      <c r="F19" s="4">
        <v>84</v>
      </c>
      <c r="G19" s="4">
        <v>84</v>
      </c>
      <c r="H19" s="4">
        <v>85</v>
      </c>
      <c r="I19" s="4">
        <v>85</v>
      </c>
      <c r="J19" s="4">
        <v>89</v>
      </c>
      <c r="K19" s="4">
        <v>90</v>
      </c>
      <c r="L19" s="9">
        <f t="shared" si="0"/>
        <v>517</v>
      </c>
      <c r="M19" s="57" t="s">
        <v>431</v>
      </c>
      <c r="N19" s="66">
        <f t="shared" si="1"/>
        <v>338</v>
      </c>
    </row>
    <row r="20" spans="1:14" s="1" customFormat="1" ht="12.75">
      <c r="A20" s="5" t="s">
        <v>26</v>
      </c>
      <c r="B20" s="365" t="s">
        <v>50</v>
      </c>
      <c r="C20" s="109">
        <v>1977</v>
      </c>
      <c r="D20" s="109" t="s">
        <v>440</v>
      </c>
      <c r="E20" s="107" t="s">
        <v>341</v>
      </c>
      <c r="F20" s="4">
        <v>79</v>
      </c>
      <c r="G20" s="4">
        <v>91</v>
      </c>
      <c r="H20" s="4">
        <v>84</v>
      </c>
      <c r="I20" s="4">
        <v>86</v>
      </c>
      <c r="J20" s="4">
        <f>20+18+17+18+17</f>
        <v>90</v>
      </c>
      <c r="K20" s="4">
        <f>19+14+17+18+17</f>
        <v>85</v>
      </c>
      <c r="L20" s="9">
        <f t="shared" si="0"/>
        <v>515</v>
      </c>
      <c r="M20" s="57"/>
      <c r="N20" s="66">
        <f t="shared" si="1"/>
        <v>340</v>
      </c>
    </row>
    <row r="21" spans="1:14" s="1" customFormat="1" ht="12.75">
      <c r="A21" s="5" t="s">
        <v>27</v>
      </c>
      <c r="B21" s="137" t="s">
        <v>148</v>
      </c>
      <c r="C21" s="55">
        <v>1978</v>
      </c>
      <c r="D21" s="4" t="s">
        <v>353</v>
      </c>
      <c r="E21" s="4" t="s">
        <v>354</v>
      </c>
      <c r="F21" s="4">
        <f>20+15+14+19+18</f>
        <v>86</v>
      </c>
      <c r="G21" s="4">
        <f>16+15+17+19+16</f>
        <v>83</v>
      </c>
      <c r="H21" s="4">
        <f>15+17+17+16+19</f>
        <v>84</v>
      </c>
      <c r="I21" s="4">
        <f>19+17+18+17+17</f>
        <v>88</v>
      </c>
      <c r="J21" s="4">
        <f>15+16+17+16+17</f>
        <v>81</v>
      </c>
      <c r="K21" s="4">
        <f>17+18+18+18+19</f>
        <v>90</v>
      </c>
      <c r="L21" s="9">
        <f t="shared" si="0"/>
        <v>512</v>
      </c>
      <c r="M21" s="57"/>
      <c r="N21" s="66">
        <f t="shared" si="1"/>
        <v>341</v>
      </c>
    </row>
    <row r="22" spans="1:14" s="1" customFormat="1" ht="12.75">
      <c r="A22" s="5" t="s">
        <v>28</v>
      </c>
      <c r="B22" s="137" t="s">
        <v>57</v>
      </c>
      <c r="C22" s="55">
        <v>1952</v>
      </c>
      <c r="D22" s="374" t="s">
        <v>446</v>
      </c>
      <c r="E22" s="55" t="s">
        <v>448</v>
      </c>
      <c r="F22" s="4">
        <f>18+17+17+18+17</f>
        <v>87</v>
      </c>
      <c r="G22" s="4">
        <f>17+19+16+18+16</f>
        <v>86</v>
      </c>
      <c r="H22" s="4">
        <f>14+16+18+16+17</f>
        <v>81</v>
      </c>
      <c r="I22" s="4">
        <f>15+18+20+16+16</f>
        <v>85</v>
      </c>
      <c r="J22" s="4">
        <f>19+16+15+20+18</f>
        <v>88</v>
      </c>
      <c r="K22" s="4">
        <f>18+19+15+17+15</f>
        <v>84</v>
      </c>
      <c r="L22" s="9">
        <f t="shared" si="0"/>
        <v>511</v>
      </c>
      <c r="M22" s="57" t="s">
        <v>455</v>
      </c>
      <c r="N22" s="66">
        <f t="shared" si="1"/>
        <v>339</v>
      </c>
    </row>
    <row r="23" spans="1:14" s="1" customFormat="1" ht="12.75">
      <c r="A23" s="5" t="s">
        <v>29</v>
      </c>
      <c r="B23" s="137" t="s">
        <v>96</v>
      </c>
      <c r="C23" s="55">
        <v>1992</v>
      </c>
      <c r="D23" s="422" t="s">
        <v>443</v>
      </c>
      <c r="E23" s="55" t="s">
        <v>433</v>
      </c>
      <c r="F23" s="4">
        <v>91</v>
      </c>
      <c r="G23" s="4">
        <v>81</v>
      </c>
      <c r="H23" s="4">
        <v>86</v>
      </c>
      <c r="I23" s="4">
        <v>86</v>
      </c>
      <c r="J23" s="4">
        <v>80</v>
      </c>
      <c r="K23" s="4">
        <v>86</v>
      </c>
      <c r="L23" s="9">
        <f t="shared" si="0"/>
        <v>510</v>
      </c>
      <c r="M23" s="57" t="s">
        <v>265</v>
      </c>
      <c r="N23" s="66">
        <f t="shared" si="1"/>
        <v>344</v>
      </c>
    </row>
    <row r="24" spans="1:14" s="1" customFormat="1" ht="12.75">
      <c r="A24" s="5"/>
      <c r="E24" s="9" t="s">
        <v>94</v>
      </c>
      <c r="M24" s="57"/>
      <c r="N24" s="66"/>
    </row>
    <row r="25" spans="3:14" s="1" customFormat="1" ht="12.75">
      <c r="C25" s="4"/>
      <c r="D25" s="4"/>
      <c r="E25" s="9" t="s">
        <v>95</v>
      </c>
      <c r="F25" s="4"/>
      <c r="G25" s="4"/>
      <c r="H25" s="4"/>
      <c r="I25" s="4"/>
      <c r="J25" s="4"/>
      <c r="K25" s="4"/>
      <c r="L25" s="4"/>
      <c r="M25" s="57"/>
      <c r="N25" s="66"/>
    </row>
    <row r="26" spans="3:14" s="1" customFormat="1" ht="12.75">
      <c r="C26" s="4"/>
      <c r="D26" s="4"/>
      <c r="F26" s="4"/>
      <c r="G26" s="4"/>
      <c r="H26" s="4"/>
      <c r="I26" s="4"/>
      <c r="J26" s="4"/>
      <c r="K26" s="4"/>
      <c r="L26" s="4"/>
      <c r="M26" s="57"/>
      <c r="N26" s="66"/>
    </row>
    <row r="27" spans="3:14" s="1" customFormat="1" ht="12.75">
      <c r="C27" s="4"/>
      <c r="D27" s="4"/>
      <c r="E27" s="4"/>
      <c r="F27" s="4"/>
      <c r="G27" s="4"/>
      <c r="H27" s="4"/>
      <c r="I27" s="4"/>
      <c r="J27" s="4"/>
      <c r="K27" s="4"/>
      <c r="L27" s="4"/>
      <c r="M27" s="57"/>
      <c r="N27" s="66"/>
    </row>
    <row r="28" spans="3:14" s="1" customFormat="1" ht="12.75">
      <c r="C28" s="4"/>
      <c r="D28" s="4"/>
      <c r="F28" s="4"/>
      <c r="G28" s="4"/>
      <c r="H28" s="4"/>
      <c r="I28" s="4"/>
      <c r="J28" s="4"/>
      <c r="K28" s="4"/>
      <c r="L28" s="4"/>
      <c r="M28" s="57"/>
      <c r="N28" s="66"/>
    </row>
    <row r="29" spans="3:14" s="1" customFormat="1" ht="12.75">
      <c r="C29" s="4"/>
      <c r="D29" s="4"/>
      <c r="F29" s="4"/>
      <c r="G29" s="4"/>
      <c r="H29" s="4"/>
      <c r="I29" s="4"/>
      <c r="J29" s="4"/>
      <c r="K29" s="4"/>
      <c r="L29" s="4"/>
      <c r="M29" s="57"/>
      <c r="N29" s="66"/>
    </row>
    <row r="30" spans="3:14" s="1" customFormat="1" ht="12.75">
      <c r="C30" s="4"/>
      <c r="D30" s="4"/>
      <c r="E30" s="4"/>
      <c r="F30" s="4"/>
      <c r="G30" s="4"/>
      <c r="H30" s="4"/>
      <c r="I30" s="4"/>
      <c r="J30" s="4"/>
      <c r="K30" s="4"/>
      <c r="L30" s="4"/>
      <c r="M30" s="57"/>
      <c r="N30" s="66"/>
    </row>
    <row r="31" spans="3:14" s="1" customFormat="1" ht="12.75">
      <c r="C31" s="4"/>
      <c r="D31" s="4"/>
      <c r="E31" s="4"/>
      <c r="F31" s="4"/>
      <c r="G31" s="4"/>
      <c r="H31" s="4"/>
      <c r="I31" s="4"/>
      <c r="J31" s="4"/>
      <c r="K31" s="4"/>
      <c r="L31" s="4"/>
      <c r="M31" s="57"/>
      <c r="N31" s="66"/>
    </row>
    <row r="32" spans="3:14" s="1" customFormat="1" ht="12.75">
      <c r="C32" s="4"/>
      <c r="D32" s="4"/>
      <c r="E32" s="4"/>
      <c r="F32" s="4"/>
      <c r="G32" s="4"/>
      <c r="H32" s="4"/>
      <c r="I32" s="4"/>
      <c r="J32" s="4"/>
      <c r="K32" s="4"/>
      <c r="L32" s="4"/>
      <c r="M32" s="57"/>
      <c r="N32" s="66"/>
    </row>
    <row r="33" spans="3:14" s="1" customFormat="1" ht="12.75">
      <c r="C33" s="4"/>
      <c r="D33" s="4"/>
      <c r="E33" s="4"/>
      <c r="F33" s="4"/>
      <c r="G33" s="4"/>
      <c r="H33" s="4"/>
      <c r="I33" s="4"/>
      <c r="J33" s="4"/>
      <c r="K33" s="4"/>
      <c r="L33" s="4"/>
      <c r="M33" s="57"/>
      <c r="N33" s="66"/>
    </row>
    <row r="34" spans="3:14" s="1" customFormat="1" ht="12.75">
      <c r="C34" s="4"/>
      <c r="D34" s="4"/>
      <c r="E34" s="4"/>
      <c r="F34" s="4"/>
      <c r="G34" s="4"/>
      <c r="H34" s="4"/>
      <c r="I34" s="4"/>
      <c r="J34" s="4"/>
      <c r="K34" s="4"/>
      <c r="L34" s="4"/>
      <c r="M34" s="57"/>
      <c r="N34" s="66"/>
    </row>
    <row r="35" spans="3:14" s="1" customFormat="1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57"/>
      <c r="N35" s="66"/>
    </row>
    <row r="36" spans="3:14" s="1" customFormat="1" ht="12.75">
      <c r="C36" s="4"/>
      <c r="D36" s="4"/>
      <c r="E36" s="4"/>
      <c r="F36" s="4"/>
      <c r="G36" s="4"/>
      <c r="H36" s="4"/>
      <c r="I36" s="4"/>
      <c r="J36" s="4"/>
      <c r="K36" s="4"/>
      <c r="L36" s="4"/>
      <c r="M36" s="57"/>
      <c r="N36" s="66"/>
    </row>
    <row r="37" spans="3:14" s="1" customFormat="1" ht="12.75">
      <c r="C37" s="4"/>
      <c r="D37" s="4"/>
      <c r="E37" s="4"/>
      <c r="F37" s="4"/>
      <c r="G37" s="4"/>
      <c r="H37" s="4"/>
      <c r="I37" s="4"/>
      <c r="J37" s="4"/>
      <c r="K37" s="4"/>
      <c r="L37" s="4"/>
      <c r="M37" s="57"/>
      <c r="N37" s="66"/>
    </row>
    <row r="38" spans="3:14" s="1" customFormat="1" ht="12.75">
      <c r="C38" s="4"/>
      <c r="D38" s="4"/>
      <c r="E38" s="4"/>
      <c r="F38" s="4"/>
      <c r="G38" s="4"/>
      <c r="H38" s="4"/>
      <c r="I38" s="4"/>
      <c r="J38" s="4"/>
      <c r="K38" s="4"/>
      <c r="L38" s="4"/>
      <c r="M38" s="57"/>
      <c r="N38" s="66"/>
    </row>
    <row r="39" spans="3:14" s="1" customFormat="1" ht="12.75">
      <c r="C39" s="4"/>
      <c r="D39" s="4"/>
      <c r="E39" s="4"/>
      <c r="F39" s="4"/>
      <c r="G39" s="4"/>
      <c r="H39" s="4"/>
      <c r="I39" s="4"/>
      <c r="J39" s="4"/>
      <c r="K39" s="4"/>
      <c r="L39" s="4"/>
      <c r="M39" s="57"/>
      <c r="N39" s="66"/>
    </row>
    <row r="40" spans="3:14" s="1" customFormat="1" ht="12.75">
      <c r="C40" s="4"/>
      <c r="D40" s="4"/>
      <c r="E40" s="4"/>
      <c r="F40" s="4"/>
      <c r="G40" s="4"/>
      <c r="H40" s="4"/>
      <c r="I40" s="4"/>
      <c r="J40" s="4"/>
      <c r="K40" s="4"/>
      <c r="L40" s="4"/>
      <c r="M40" s="57"/>
      <c r="N40" s="66"/>
    </row>
    <row r="41" spans="3:14" s="1" customFormat="1" ht="12.75">
      <c r="C41" s="4"/>
      <c r="D41" s="4"/>
      <c r="E41" s="4"/>
      <c r="F41" s="4"/>
      <c r="G41" s="4"/>
      <c r="H41" s="4"/>
      <c r="I41" s="4"/>
      <c r="J41" s="4"/>
      <c r="K41" s="4"/>
      <c r="L41" s="4"/>
      <c r="M41" s="57"/>
      <c r="N41" s="66"/>
    </row>
    <row r="42" spans="3:14" s="1" customFormat="1" ht="12.75">
      <c r="C42" s="4"/>
      <c r="D42" s="4"/>
      <c r="E42" s="4"/>
      <c r="F42" s="4"/>
      <c r="G42" s="4"/>
      <c r="H42" s="4"/>
      <c r="I42" s="4"/>
      <c r="J42" s="4"/>
      <c r="K42" s="4"/>
      <c r="L42" s="4"/>
      <c r="M42" s="57"/>
      <c r="N42" s="66"/>
    </row>
    <row r="43" spans="3:14" s="1" customFormat="1" ht="12.75">
      <c r="C43" s="4"/>
      <c r="D43" s="4"/>
      <c r="E43" s="4"/>
      <c r="F43" s="4"/>
      <c r="G43" s="4"/>
      <c r="H43" s="4"/>
      <c r="I43" s="4"/>
      <c r="J43" s="4"/>
      <c r="K43" s="4"/>
      <c r="L43" s="4"/>
      <c r="M43" s="57"/>
      <c r="N43" s="66"/>
    </row>
    <row r="44" spans="3:14" s="1" customFormat="1" ht="12.75">
      <c r="C44" s="4"/>
      <c r="D44" s="4"/>
      <c r="E44" s="4"/>
      <c r="F44" s="4"/>
      <c r="G44" s="4"/>
      <c r="H44" s="4"/>
      <c r="I44" s="4"/>
      <c r="J44" s="4"/>
      <c r="K44" s="4"/>
      <c r="L44" s="4"/>
      <c r="M44" s="57"/>
      <c r="N44" s="66"/>
    </row>
    <row r="45" spans="3:14" s="1" customFormat="1" ht="12.75">
      <c r="C45" s="4"/>
      <c r="D45" s="4"/>
      <c r="E45" s="4"/>
      <c r="F45" s="4"/>
      <c r="G45" s="4"/>
      <c r="H45" s="4"/>
      <c r="I45" s="4"/>
      <c r="J45" s="4"/>
      <c r="K45" s="4"/>
      <c r="L45" s="4"/>
      <c r="M45" s="57"/>
      <c r="N45" s="66"/>
    </row>
    <row r="46" spans="3:14" s="1" customFormat="1" ht="12.75">
      <c r="C46" s="4"/>
      <c r="D46" s="4"/>
      <c r="E46" s="4"/>
      <c r="F46" s="4"/>
      <c r="G46" s="4"/>
      <c r="H46" s="4"/>
      <c r="I46" s="4"/>
      <c r="J46" s="4"/>
      <c r="K46" s="4"/>
      <c r="L46" s="4"/>
      <c r="M46" s="57"/>
      <c r="N46" s="66"/>
    </row>
    <row r="47" spans="3:14" s="1" customFormat="1" ht="12.75">
      <c r="C47" s="4"/>
      <c r="D47" s="4"/>
      <c r="E47" s="4"/>
      <c r="F47" s="4"/>
      <c r="G47" s="4"/>
      <c r="H47" s="4"/>
      <c r="I47" s="4"/>
      <c r="J47" s="4"/>
      <c r="K47" s="4"/>
      <c r="L47" s="4"/>
      <c r="M47" s="57"/>
      <c r="N47" s="66"/>
    </row>
    <row r="48" spans="3:14" s="1" customFormat="1" ht="12.75">
      <c r="C48" s="4"/>
      <c r="D48" s="4"/>
      <c r="E48" s="4"/>
      <c r="F48" s="4"/>
      <c r="G48" s="4"/>
      <c r="H48" s="4"/>
      <c r="I48" s="4"/>
      <c r="J48" s="4"/>
      <c r="K48" s="4"/>
      <c r="L48" s="4"/>
      <c r="M48" s="57"/>
      <c r="N48" s="66"/>
    </row>
    <row r="49" spans="3:14" s="1" customFormat="1" ht="12.75">
      <c r="C49" s="4"/>
      <c r="D49" s="4"/>
      <c r="E49" s="4"/>
      <c r="F49" s="4"/>
      <c r="G49" s="4"/>
      <c r="H49" s="4"/>
      <c r="I49" s="4"/>
      <c r="J49" s="4"/>
      <c r="K49" s="4"/>
      <c r="L49" s="4"/>
      <c r="M49" s="57"/>
      <c r="N49" s="66"/>
    </row>
    <row r="50" spans="3:14" s="1" customFormat="1" ht="12.75">
      <c r="C50" s="4"/>
      <c r="D50" s="4"/>
      <c r="E50" s="4"/>
      <c r="F50" s="4"/>
      <c r="G50" s="4"/>
      <c r="H50" s="4"/>
      <c r="I50" s="4"/>
      <c r="J50" s="4"/>
      <c r="K50" s="4"/>
      <c r="L50" s="4"/>
      <c r="M50" s="57"/>
      <c r="N50" s="66"/>
    </row>
    <row r="51" spans="3:14" s="1" customFormat="1" ht="12.75">
      <c r="C51" s="4"/>
      <c r="D51" s="4"/>
      <c r="E51" s="4"/>
      <c r="F51" s="4"/>
      <c r="G51" s="4"/>
      <c r="H51" s="4"/>
      <c r="I51" s="4"/>
      <c r="J51" s="4"/>
      <c r="K51" s="4"/>
      <c r="L51" s="4"/>
      <c r="M51" s="57"/>
      <c r="N51" s="66"/>
    </row>
    <row r="52" spans="3:14" s="1" customFormat="1" ht="12.75">
      <c r="C52" s="4"/>
      <c r="D52" s="4"/>
      <c r="E52" s="4"/>
      <c r="F52" s="4"/>
      <c r="G52" s="4"/>
      <c r="H52" s="4"/>
      <c r="I52" s="4"/>
      <c r="J52" s="4"/>
      <c r="K52" s="4"/>
      <c r="L52" s="4"/>
      <c r="M52" s="57"/>
      <c r="N52" s="66"/>
    </row>
    <row r="53" spans="3:14" s="1" customFormat="1" ht="12.75">
      <c r="C53" s="4"/>
      <c r="D53" s="4"/>
      <c r="E53" s="4"/>
      <c r="F53" s="4"/>
      <c r="G53" s="4"/>
      <c r="H53" s="4"/>
      <c r="I53" s="4"/>
      <c r="J53" s="4"/>
      <c r="K53" s="4"/>
      <c r="L53" s="4"/>
      <c r="M53" s="57"/>
      <c r="N53" s="66"/>
    </row>
    <row r="54" spans="3:14" s="1" customFormat="1" ht="12.75">
      <c r="C54" s="4"/>
      <c r="D54" s="4"/>
      <c r="E54" s="4"/>
      <c r="F54" s="4"/>
      <c r="G54" s="4"/>
      <c r="H54" s="4"/>
      <c r="I54" s="4"/>
      <c r="J54" s="4"/>
      <c r="K54" s="4"/>
      <c r="L54" s="4"/>
      <c r="M54" s="57"/>
      <c r="N54" s="66"/>
    </row>
    <row r="55" spans="3:14" s="1" customFormat="1" ht="12.75">
      <c r="C55" s="4"/>
      <c r="D55" s="4"/>
      <c r="E55" s="4"/>
      <c r="F55" s="4"/>
      <c r="G55" s="4"/>
      <c r="H55" s="4"/>
      <c r="I55" s="4"/>
      <c r="J55" s="4"/>
      <c r="K55" s="4"/>
      <c r="L55" s="4"/>
      <c r="M55" s="57"/>
      <c r="N55" s="66"/>
    </row>
    <row r="56" spans="3:14" s="1" customFormat="1" ht="12.75">
      <c r="C56" s="4"/>
      <c r="D56" s="4"/>
      <c r="E56" s="4"/>
      <c r="F56" s="4"/>
      <c r="G56" s="4"/>
      <c r="H56" s="4"/>
      <c r="I56" s="4"/>
      <c r="J56" s="4"/>
      <c r="K56" s="4"/>
      <c r="L56" s="4"/>
      <c r="M56" s="57"/>
      <c r="N56" s="66"/>
    </row>
    <row r="57" spans="3:14" s="1" customFormat="1" ht="12.75">
      <c r="C57" s="4"/>
      <c r="D57" s="4"/>
      <c r="E57" s="4"/>
      <c r="F57" s="4"/>
      <c r="G57" s="4"/>
      <c r="H57" s="4"/>
      <c r="I57" s="4"/>
      <c r="J57" s="4"/>
      <c r="K57" s="4"/>
      <c r="L57" s="4"/>
      <c r="M57" s="57"/>
      <c r="N57" s="66"/>
    </row>
    <row r="58" spans="3:14" s="1" customFormat="1" ht="12.75">
      <c r="C58" s="4"/>
      <c r="D58" s="4"/>
      <c r="E58" s="4"/>
      <c r="F58" s="4"/>
      <c r="G58" s="4"/>
      <c r="H58" s="4"/>
      <c r="I58" s="4"/>
      <c r="J58" s="4"/>
      <c r="K58" s="4"/>
      <c r="L58" s="4"/>
      <c r="M58" s="57"/>
      <c r="N58" s="66"/>
    </row>
    <row r="59" spans="3:14" s="1" customFormat="1" ht="12.75">
      <c r="C59" s="4"/>
      <c r="D59" s="4"/>
      <c r="E59" s="4"/>
      <c r="F59" s="4"/>
      <c r="G59" s="4"/>
      <c r="H59" s="4"/>
      <c r="I59" s="4"/>
      <c r="J59" s="4"/>
      <c r="K59" s="4"/>
      <c r="L59" s="4"/>
      <c r="M59" s="57"/>
      <c r="N59" s="66"/>
    </row>
    <row r="60" spans="3:14" s="1" customFormat="1" ht="12.75">
      <c r="C60" s="4"/>
      <c r="D60" s="4"/>
      <c r="E60" s="4"/>
      <c r="F60" s="4"/>
      <c r="G60" s="4"/>
      <c r="H60" s="4"/>
      <c r="I60" s="4"/>
      <c r="J60" s="4"/>
      <c r="K60" s="4"/>
      <c r="L60" s="4"/>
      <c r="M60" s="57"/>
      <c r="N60" s="66"/>
    </row>
    <row r="61" spans="3:14" s="1" customFormat="1" ht="12.75">
      <c r="C61" s="4"/>
      <c r="D61" s="4"/>
      <c r="E61" s="4"/>
      <c r="F61" s="4"/>
      <c r="G61" s="4"/>
      <c r="H61" s="4"/>
      <c r="I61" s="4"/>
      <c r="J61" s="4"/>
      <c r="K61" s="4"/>
      <c r="L61" s="4"/>
      <c r="M61" s="57"/>
      <c r="N61" s="66"/>
    </row>
    <row r="62" spans="3:14" s="1" customFormat="1" ht="12.75">
      <c r="C62" s="4"/>
      <c r="D62" s="4"/>
      <c r="E62" s="4"/>
      <c r="F62" s="4"/>
      <c r="G62" s="4"/>
      <c r="H62" s="4"/>
      <c r="I62" s="4"/>
      <c r="J62" s="4"/>
      <c r="K62" s="4"/>
      <c r="L62" s="4"/>
      <c r="M62" s="57"/>
      <c r="N62" s="66"/>
    </row>
    <row r="63" spans="3:14" s="1" customFormat="1" ht="12.75">
      <c r="C63" s="4"/>
      <c r="D63" s="4"/>
      <c r="E63" s="4"/>
      <c r="F63" s="4"/>
      <c r="G63" s="4"/>
      <c r="H63" s="4"/>
      <c r="I63" s="4"/>
      <c r="J63" s="4"/>
      <c r="K63" s="4"/>
      <c r="L63" s="4"/>
      <c r="M63" s="57"/>
      <c r="N63" s="66"/>
    </row>
    <row r="64" spans="3:14" s="1" customFormat="1" ht="12.75">
      <c r="C64" s="4"/>
      <c r="D64" s="4"/>
      <c r="E64" s="4"/>
      <c r="F64" s="4"/>
      <c r="G64" s="4"/>
      <c r="H64" s="4"/>
      <c r="I64" s="4"/>
      <c r="J64" s="4"/>
      <c r="K64" s="4"/>
      <c r="L64" s="4"/>
      <c r="M64" s="57"/>
      <c r="N64" s="66"/>
    </row>
    <row r="65" spans="3:14" s="1" customFormat="1" ht="12.75">
      <c r="C65" s="4"/>
      <c r="D65" s="4"/>
      <c r="E65" s="4"/>
      <c r="F65" s="4"/>
      <c r="G65" s="4"/>
      <c r="H65" s="4"/>
      <c r="I65" s="4"/>
      <c r="J65" s="4"/>
      <c r="K65" s="4"/>
      <c r="L65" s="4"/>
      <c r="M65" s="57"/>
      <c r="N65" s="66"/>
    </row>
    <row r="66" spans="3:14" s="1" customFormat="1" ht="12.75">
      <c r="C66" s="4"/>
      <c r="D66" s="4"/>
      <c r="E66" s="4"/>
      <c r="F66" s="4"/>
      <c r="G66" s="4"/>
      <c r="H66" s="4"/>
      <c r="I66" s="4"/>
      <c r="J66" s="4"/>
      <c r="K66" s="4"/>
      <c r="L66" s="4"/>
      <c r="M66" s="57"/>
      <c r="N66" s="66"/>
    </row>
    <row r="67" spans="3:14" s="1" customFormat="1" ht="12.75">
      <c r="C67" s="4"/>
      <c r="D67" s="4"/>
      <c r="E67" s="4"/>
      <c r="F67" s="4"/>
      <c r="G67" s="4"/>
      <c r="H67" s="4"/>
      <c r="I67" s="4"/>
      <c r="J67" s="4"/>
      <c r="K67" s="4"/>
      <c r="L67" s="4"/>
      <c r="M67" s="57"/>
      <c r="N67" s="66"/>
    </row>
    <row r="68" spans="3:14" s="1" customFormat="1" ht="12.75">
      <c r="C68" s="4"/>
      <c r="D68" s="4"/>
      <c r="E68" s="4"/>
      <c r="F68" s="4"/>
      <c r="G68" s="4"/>
      <c r="H68" s="4"/>
      <c r="I68" s="4"/>
      <c r="J68" s="4"/>
      <c r="K68" s="4"/>
      <c r="L68" s="4"/>
      <c r="M68" s="57"/>
      <c r="N68" s="66"/>
    </row>
    <row r="69" spans="3:14" s="1" customFormat="1" ht="12.75">
      <c r="C69" s="4"/>
      <c r="D69" s="4"/>
      <c r="E69" s="4"/>
      <c r="F69" s="4"/>
      <c r="G69" s="4"/>
      <c r="H69" s="4"/>
      <c r="I69" s="4"/>
      <c r="J69" s="4"/>
      <c r="K69" s="4"/>
      <c r="L69" s="4"/>
      <c r="M69" s="57"/>
      <c r="N69" s="66"/>
    </row>
    <row r="70" spans="3:14" s="1" customFormat="1" ht="12.75">
      <c r="C70" s="4"/>
      <c r="D70" s="4"/>
      <c r="E70" s="4"/>
      <c r="F70" s="4"/>
      <c r="G70" s="4"/>
      <c r="H70" s="4"/>
      <c r="I70" s="4"/>
      <c r="J70" s="4"/>
      <c r="K70" s="4"/>
      <c r="L70" s="4"/>
      <c r="M70" s="57"/>
      <c r="N70" s="66"/>
    </row>
    <row r="71" spans="3:14" s="1" customFormat="1" ht="12.75">
      <c r="C71" s="4"/>
      <c r="D71" s="4"/>
      <c r="E71" s="4"/>
      <c r="F71" s="4"/>
      <c r="G71" s="4"/>
      <c r="H71" s="4"/>
      <c r="I71" s="4"/>
      <c r="J71" s="4"/>
      <c r="K71" s="4"/>
      <c r="L71" s="4"/>
      <c r="M71" s="57"/>
      <c r="N71" s="66"/>
    </row>
    <row r="72" spans="3:14" s="1" customFormat="1" ht="12.75">
      <c r="C72" s="4"/>
      <c r="D72" s="4"/>
      <c r="E72" s="4"/>
      <c r="F72" s="4"/>
      <c r="G72" s="4"/>
      <c r="H72" s="4"/>
      <c r="I72" s="4"/>
      <c r="J72" s="4"/>
      <c r="K72" s="4"/>
      <c r="L72" s="4"/>
      <c r="M72" s="57"/>
      <c r="N72" s="66"/>
    </row>
    <row r="73" spans="3:14" s="1" customFormat="1" ht="12.75">
      <c r="C73" s="4"/>
      <c r="D73" s="4"/>
      <c r="E73" s="4"/>
      <c r="F73" s="4"/>
      <c r="G73" s="4"/>
      <c r="H73" s="4"/>
      <c r="I73" s="4"/>
      <c r="J73" s="4"/>
      <c r="K73" s="4"/>
      <c r="L73" s="4"/>
      <c r="M73" s="57"/>
      <c r="N73" s="66"/>
    </row>
    <row r="74" spans="3:14" s="1" customFormat="1" ht="12.75">
      <c r="C74" s="4"/>
      <c r="D74" s="4"/>
      <c r="E74" s="4"/>
      <c r="F74" s="4"/>
      <c r="G74" s="4"/>
      <c r="H74" s="4"/>
      <c r="I74" s="4"/>
      <c r="J74" s="4"/>
      <c r="K74" s="4"/>
      <c r="L74" s="4"/>
      <c r="M74" s="57"/>
      <c r="N74" s="66"/>
    </row>
    <row r="75" spans="3:14" s="1" customFormat="1" ht="12.75">
      <c r="C75" s="4"/>
      <c r="D75" s="4"/>
      <c r="E75" s="4"/>
      <c r="F75" s="4"/>
      <c r="G75" s="4"/>
      <c r="H75" s="4"/>
      <c r="I75" s="4"/>
      <c r="J75" s="4"/>
      <c r="K75" s="4"/>
      <c r="L75" s="4"/>
      <c r="M75" s="57"/>
      <c r="N75" s="66"/>
    </row>
    <row r="76" spans="3:14" s="1" customFormat="1" ht="12.75">
      <c r="C76" s="4"/>
      <c r="D76" s="4"/>
      <c r="E76" s="4"/>
      <c r="F76" s="4"/>
      <c r="G76" s="4"/>
      <c r="H76" s="4"/>
      <c r="I76" s="4"/>
      <c r="J76" s="4"/>
      <c r="K76" s="4"/>
      <c r="L76" s="4"/>
      <c r="M76" s="57"/>
      <c r="N76" s="66"/>
    </row>
    <row r="77" spans="3:14" s="1" customFormat="1" ht="12.75">
      <c r="C77" s="4"/>
      <c r="D77" s="4"/>
      <c r="E77" s="4"/>
      <c r="F77" s="4"/>
      <c r="G77" s="4"/>
      <c r="H77" s="4"/>
      <c r="I77" s="4"/>
      <c r="J77" s="4"/>
      <c r="K77" s="4"/>
      <c r="L77" s="4"/>
      <c r="M77" s="57"/>
      <c r="N77" s="66"/>
    </row>
    <row r="78" spans="3:14" s="1" customFormat="1" ht="12.75">
      <c r="C78" s="4"/>
      <c r="D78" s="4"/>
      <c r="E78" s="4"/>
      <c r="F78" s="4"/>
      <c r="G78" s="4"/>
      <c r="H78" s="4"/>
      <c r="I78" s="4"/>
      <c r="J78" s="4"/>
      <c r="K78" s="4"/>
      <c r="L78" s="4"/>
      <c r="M78" s="57"/>
      <c r="N78" s="66"/>
    </row>
    <row r="79" spans="3:14" s="1" customFormat="1" ht="12.75">
      <c r="C79" s="4"/>
      <c r="D79" s="4"/>
      <c r="E79" s="4"/>
      <c r="F79" s="4"/>
      <c r="G79" s="4"/>
      <c r="H79" s="4"/>
      <c r="I79" s="4"/>
      <c r="J79" s="4"/>
      <c r="K79" s="4"/>
      <c r="L79" s="4"/>
      <c r="M79" s="57"/>
      <c r="N79" s="66"/>
    </row>
    <row r="80" spans="3:14" s="1" customFormat="1" ht="12.75">
      <c r="C80" s="4"/>
      <c r="D80" s="4"/>
      <c r="E80" s="4"/>
      <c r="F80" s="4"/>
      <c r="G80" s="4"/>
      <c r="H80" s="4"/>
      <c r="I80" s="4"/>
      <c r="J80" s="4"/>
      <c r="K80" s="4"/>
      <c r="L80" s="4"/>
      <c r="M80" s="57"/>
      <c r="N80" s="66"/>
    </row>
    <row r="81" spans="3:14" s="1" customFormat="1" ht="12.75">
      <c r="C81" s="4"/>
      <c r="D81" s="4"/>
      <c r="E81" s="4"/>
      <c r="F81" s="4"/>
      <c r="G81" s="4"/>
      <c r="H81" s="4"/>
      <c r="I81" s="4"/>
      <c r="J81" s="4"/>
      <c r="K81" s="4"/>
      <c r="L81" s="4"/>
      <c r="M81" s="57"/>
      <c r="N81" s="66"/>
    </row>
    <row r="82" spans="3:14" s="1" customFormat="1" ht="12.75">
      <c r="C82" s="4"/>
      <c r="D82" s="4"/>
      <c r="E82" s="4"/>
      <c r="F82" s="4"/>
      <c r="G82" s="4"/>
      <c r="H82" s="4"/>
      <c r="I82" s="4"/>
      <c r="J82" s="4"/>
      <c r="K82" s="4"/>
      <c r="L82" s="4"/>
      <c r="M82" s="57"/>
      <c r="N82" s="66"/>
    </row>
    <row r="83" spans="3:14" s="1" customFormat="1" ht="12.75">
      <c r="C83" s="4"/>
      <c r="D83" s="4"/>
      <c r="E83" s="4"/>
      <c r="F83" s="4"/>
      <c r="G83" s="4"/>
      <c r="H83" s="4"/>
      <c r="I83" s="4"/>
      <c r="J83" s="4"/>
      <c r="K83" s="4"/>
      <c r="L83" s="4"/>
      <c r="M83" s="57"/>
      <c r="N83" s="66"/>
    </row>
    <row r="84" spans="3:14" s="1" customFormat="1" ht="12.75">
      <c r="C84" s="4"/>
      <c r="D84" s="4"/>
      <c r="E84" s="4"/>
      <c r="F84" s="4"/>
      <c r="G84" s="4"/>
      <c r="H84" s="4"/>
      <c r="I84" s="4"/>
      <c r="J84" s="4"/>
      <c r="K84" s="4"/>
      <c r="L84" s="4"/>
      <c r="M84" s="57"/>
      <c r="N84" s="66"/>
    </row>
    <row r="85" spans="3:14" s="1" customFormat="1" ht="12.75">
      <c r="C85" s="4"/>
      <c r="D85" s="4"/>
      <c r="E85" s="4"/>
      <c r="F85" s="4"/>
      <c r="G85" s="4"/>
      <c r="H85" s="4"/>
      <c r="I85" s="4"/>
      <c r="J85" s="4"/>
      <c r="K85" s="4"/>
      <c r="L85" s="4"/>
      <c r="M85" s="57"/>
      <c r="N85" s="66"/>
    </row>
    <row r="86" spans="3:14" s="1" customFormat="1" ht="12.75">
      <c r="C86" s="4"/>
      <c r="D86" s="4"/>
      <c r="E86" s="4"/>
      <c r="F86" s="4"/>
      <c r="G86" s="4"/>
      <c r="H86" s="4"/>
      <c r="I86" s="4"/>
      <c r="J86" s="4"/>
      <c r="K86" s="4"/>
      <c r="L86" s="4"/>
      <c r="M86" s="57"/>
      <c r="N86" s="66"/>
    </row>
    <row r="87" spans="3:14" s="1" customFormat="1" ht="12.75">
      <c r="C87" s="4"/>
      <c r="D87" s="4"/>
      <c r="E87" s="4"/>
      <c r="F87" s="4"/>
      <c r="G87" s="4"/>
      <c r="H87" s="4"/>
      <c r="I87" s="4"/>
      <c r="J87" s="4"/>
      <c r="K87" s="4"/>
      <c r="L87" s="4"/>
      <c r="M87" s="57"/>
      <c r="N87" s="66"/>
    </row>
    <row r="88" spans="3:14" s="1" customFormat="1" ht="12.75">
      <c r="C88" s="4"/>
      <c r="D88" s="4"/>
      <c r="E88" s="4"/>
      <c r="F88" s="4"/>
      <c r="G88" s="4"/>
      <c r="H88" s="4"/>
      <c r="I88" s="4"/>
      <c r="J88" s="4"/>
      <c r="K88" s="4"/>
      <c r="L88" s="4"/>
      <c r="M88" s="57"/>
      <c r="N88" s="66"/>
    </row>
    <row r="89" spans="3:14" s="1" customFormat="1" ht="12.75">
      <c r="C89" s="4"/>
      <c r="D89" s="4"/>
      <c r="E89" s="4"/>
      <c r="F89" s="4"/>
      <c r="G89" s="4"/>
      <c r="H89" s="4"/>
      <c r="I89" s="4"/>
      <c r="J89" s="4"/>
      <c r="K89" s="4"/>
      <c r="L89" s="4"/>
      <c r="M89" s="57"/>
      <c r="N89" s="66"/>
    </row>
    <row r="90" spans="3:14" s="1" customFormat="1" ht="12.75">
      <c r="C90" s="4"/>
      <c r="D90" s="4"/>
      <c r="E90" s="4"/>
      <c r="F90" s="4"/>
      <c r="G90" s="4"/>
      <c r="H90" s="4"/>
      <c r="I90" s="4"/>
      <c r="J90" s="4"/>
      <c r="K90" s="4"/>
      <c r="L90" s="4"/>
      <c r="M90" s="57"/>
      <c r="N90" s="66"/>
    </row>
    <row r="91" spans="3:14" s="1" customFormat="1" ht="12.75">
      <c r="C91" s="4"/>
      <c r="D91" s="4"/>
      <c r="E91" s="4"/>
      <c r="F91" s="4"/>
      <c r="G91" s="4"/>
      <c r="H91" s="4"/>
      <c r="I91" s="4"/>
      <c r="J91" s="4"/>
      <c r="K91" s="4"/>
      <c r="L91" s="4"/>
      <c r="M91" s="57"/>
      <c r="N91" s="66"/>
    </row>
    <row r="92" spans="3:14" s="1" customFormat="1" ht="12.75">
      <c r="C92" s="4"/>
      <c r="D92" s="4"/>
      <c r="E92" s="4"/>
      <c r="F92" s="4"/>
      <c r="G92" s="4"/>
      <c r="H92" s="4"/>
      <c r="I92" s="4"/>
      <c r="J92" s="4"/>
      <c r="K92" s="4"/>
      <c r="L92" s="4"/>
      <c r="M92" s="57"/>
      <c r="N92" s="66"/>
    </row>
    <row r="93" spans="3:14" s="1" customFormat="1" ht="12.75">
      <c r="C93" s="4"/>
      <c r="D93" s="4"/>
      <c r="E93" s="4"/>
      <c r="F93" s="4"/>
      <c r="G93" s="4"/>
      <c r="H93" s="4"/>
      <c r="I93" s="4"/>
      <c r="J93" s="4"/>
      <c r="K93" s="4"/>
      <c r="L93" s="4"/>
      <c r="M93" s="57"/>
      <c r="N93" s="66"/>
    </row>
    <row r="94" spans="3:14" s="1" customFormat="1" ht="12.75">
      <c r="C94" s="4"/>
      <c r="D94" s="4"/>
      <c r="E94" s="4"/>
      <c r="F94" s="4"/>
      <c r="G94" s="4"/>
      <c r="H94" s="4"/>
      <c r="I94" s="4"/>
      <c r="J94" s="4"/>
      <c r="K94" s="4"/>
      <c r="L94" s="4"/>
      <c r="M94" s="57"/>
      <c r="N94" s="66"/>
    </row>
    <row r="95" spans="3:14" s="1" customFormat="1" ht="12.75">
      <c r="C95" s="4"/>
      <c r="D95" s="4"/>
      <c r="E95" s="4"/>
      <c r="F95" s="4"/>
      <c r="G95" s="4"/>
      <c r="H95" s="4"/>
      <c r="I95" s="4"/>
      <c r="J95" s="4"/>
      <c r="K95" s="4"/>
      <c r="L95" s="4"/>
      <c r="M95" s="57"/>
      <c r="N95" s="66"/>
    </row>
    <row r="96" spans="3:14" s="1" customFormat="1" ht="12.75">
      <c r="C96" s="4"/>
      <c r="D96" s="4"/>
      <c r="E96" s="4"/>
      <c r="F96" s="4"/>
      <c r="G96" s="4"/>
      <c r="H96" s="4"/>
      <c r="I96" s="4"/>
      <c r="J96" s="4"/>
      <c r="K96" s="4"/>
      <c r="L96" s="4"/>
      <c r="M96" s="57"/>
      <c r="N96" s="66"/>
    </row>
    <row r="97" spans="3:14" s="1" customFormat="1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57"/>
      <c r="N97" s="66"/>
    </row>
    <row r="98" spans="3:14" s="1" customFormat="1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57"/>
      <c r="N98" s="66"/>
    </row>
    <row r="99" spans="3:14" s="1" customFormat="1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57"/>
      <c r="N99" s="66"/>
    </row>
    <row r="100" spans="3:14" s="1" customFormat="1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7"/>
      <c r="N100" s="66"/>
    </row>
    <row r="101" spans="3:14" s="1" customFormat="1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57"/>
      <c r="N101" s="66"/>
    </row>
    <row r="102" spans="3:14" s="1" customFormat="1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57"/>
      <c r="N102" s="66"/>
    </row>
    <row r="103" spans="3:14" s="1" customFormat="1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57"/>
      <c r="N103" s="66"/>
    </row>
    <row r="104" spans="3:14" s="1" customFormat="1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57"/>
      <c r="N104" s="66"/>
    </row>
    <row r="105" spans="3:14" s="1" customFormat="1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57"/>
      <c r="N105" s="66"/>
    </row>
    <row r="106" spans="3:14" s="1" customFormat="1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57"/>
      <c r="N106" s="66"/>
    </row>
    <row r="107" spans="3:14" s="1" customFormat="1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57"/>
      <c r="N107" s="66"/>
    </row>
    <row r="108" spans="3:14" s="1" customFormat="1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57"/>
      <c r="N108" s="66"/>
    </row>
    <row r="109" spans="3:14" s="1" customFormat="1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57"/>
      <c r="N109" s="66"/>
    </row>
    <row r="110" spans="3:14" s="1" customFormat="1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57"/>
      <c r="N110" s="66"/>
    </row>
    <row r="111" spans="3:14" s="1" customFormat="1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57"/>
      <c r="N111" s="66"/>
    </row>
    <row r="112" spans="3:14" s="1" customFormat="1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57"/>
      <c r="N112" s="66"/>
    </row>
    <row r="113" spans="3:14" s="1" customFormat="1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57"/>
      <c r="N113" s="66"/>
    </row>
    <row r="114" spans="3:14" s="1" customFormat="1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57"/>
      <c r="N114" s="66"/>
    </row>
    <row r="115" spans="3:14" s="1" customFormat="1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57"/>
      <c r="N115" s="66"/>
    </row>
    <row r="116" spans="3:14" s="1" customFormat="1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57"/>
      <c r="N116" s="66"/>
    </row>
    <row r="117" spans="3:14" s="1" customFormat="1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57"/>
      <c r="N117" s="66"/>
    </row>
    <row r="118" spans="3:14" s="1" customFormat="1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57"/>
      <c r="N118" s="66"/>
    </row>
    <row r="119" spans="3:14" s="1" customFormat="1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57"/>
      <c r="N119" s="66"/>
    </row>
    <row r="120" spans="3:14" s="1" customFormat="1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57"/>
      <c r="N120" s="66"/>
    </row>
    <row r="121" spans="3:14" s="1" customFormat="1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57"/>
      <c r="N121" s="66"/>
    </row>
    <row r="122" spans="3:14" s="1" customFormat="1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57"/>
      <c r="N122" s="66"/>
    </row>
    <row r="123" spans="3:14" s="1" customFormat="1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57"/>
      <c r="N123" s="66"/>
    </row>
    <row r="124" spans="3:14" s="1" customFormat="1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57"/>
      <c r="N124" s="66"/>
    </row>
    <row r="125" spans="3:14" s="1" customFormat="1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57"/>
      <c r="N125" s="66"/>
    </row>
    <row r="126" spans="3:14" s="1" customFormat="1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57"/>
      <c r="N126" s="66"/>
    </row>
    <row r="127" spans="3:14" s="1" customFormat="1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57"/>
      <c r="N127" s="66"/>
    </row>
    <row r="128" spans="3:14" s="1" customFormat="1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57"/>
      <c r="N128" s="66"/>
    </row>
    <row r="129" spans="3:14" s="1" customFormat="1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57"/>
      <c r="N129" s="66"/>
    </row>
  </sheetData>
  <sheetProtection/>
  <mergeCells count="2">
    <mergeCell ref="A1:M1"/>
    <mergeCell ref="C4:D4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U135"/>
  <sheetViews>
    <sheetView zoomScale="80" zoomScaleNormal="80" zoomScalePageLayoutView="0" workbookViewId="0" topLeftCell="A1">
      <selection activeCell="B21" sqref="B21:E21"/>
    </sheetView>
  </sheetViews>
  <sheetFormatPr defaultColWidth="9.140625" defaultRowHeight="12.75"/>
  <cols>
    <col min="1" max="1" width="7.00390625" style="0" customWidth="1"/>
    <col min="2" max="2" width="21.57421875" style="0" customWidth="1"/>
    <col min="3" max="5" width="17.7109375" style="3" customWidth="1"/>
    <col min="6" max="11" width="4.7109375" style="3" customWidth="1"/>
    <col min="12" max="12" width="8.7109375" style="3" customWidth="1"/>
    <col min="13" max="13" width="5.28125" style="50" customWidth="1"/>
    <col min="14" max="14" width="9.140625" style="76" customWidth="1"/>
  </cols>
  <sheetData>
    <row r="1" spans="1:13" ht="16.5" customHeight="1">
      <c r="A1" s="505" t="s">
        <v>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</row>
    <row r="2" spans="1:13" ht="30" customHeight="1">
      <c r="A2" s="23"/>
      <c r="B2" s="24"/>
      <c r="C2" s="25"/>
      <c r="D2" s="26" t="s">
        <v>18</v>
      </c>
      <c r="E2" s="25"/>
      <c r="F2" s="24"/>
      <c r="G2" s="24"/>
      <c r="H2" s="24"/>
      <c r="I2" s="24"/>
      <c r="J2" s="24"/>
      <c r="K2" s="24"/>
      <c r="L2" s="24"/>
      <c r="M2" s="65"/>
    </row>
    <row r="3" spans="1:8" ht="16.5" customHeight="1">
      <c r="A3" s="10" t="s">
        <v>26</v>
      </c>
      <c r="B3" s="11" t="s">
        <v>325</v>
      </c>
      <c r="C3" s="11"/>
      <c r="D3" s="11"/>
      <c r="E3" s="11"/>
      <c r="F3" s="11"/>
      <c r="G3" s="11"/>
      <c r="H3" s="11"/>
    </row>
    <row r="4" spans="1:5" ht="15.75">
      <c r="A4" s="19" t="s">
        <v>1</v>
      </c>
      <c r="B4" s="20"/>
      <c r="C4" s="506" t="s">
        <v>327</v>
      </c>
      <c r="D4" s="506"/>
      <c r="E4" s="21"/>
    </row>
    <row r="5" spans="1:5" ht="15.75">
      <c r="A5" s="19" t="s">
        <v>2</v>
      </c>
      <c r="B5" s="20"/>
      <c r="C5" s="22" t="s">
        <v>4</v>
      </c>
      <c r="D5" s="21"/>
      <c r="E5" s="21"/>
    </row>
    <row r="6" spans="1:5" ht="15.75">
      <c r="A6" s="19" t="s">
        <v>3</v>
      </c>
      <c r="B6" s="20"/>
      <c r="C6" s="22" t="s">
        <v>45</v>
      </c>
      <c r="D6" s="21"/>
      <c r="E6" s="21"/>
    </row>
    <row r="7" spans="3:14" s="1" customFormat="1" ht="12.75">
      <c r="C7" s="4"/>
      <c r="D7" s="4"/>
      <c r="E7" s="4"/>
      <c r="F7" s="4"/>
      <c r="G7" s="4"/>
      <c r="H7" s="4"/>
      <c r="I7" s="4"/>
      <c r="J7" s="4"/>
      <c r="K7" s="4"/>
      <c r="L7" s="4"/>
      <c r="M7" s="57"/>
      <c r="N7" s="66"/>
    </row>
    <row r="8" spans="1:14" s="1" customFormat="1" ht="12.75" customHeight="1">
      <c r="A8" s="6" t="s">
        <v>19</v>
      </c>
      <c r="B8" s="7"/>
      <c r="C8" s="8"/>
      <c r="D8" s="8"/>
      <c r="E8" s="8"/>
      <c r="F8" s="7"/>
      <c r="G8" s="7"/>
      <c r="H8" s="7"/>
      <c r="I8" s="7"/>
      <c r="J8" s="7"/>
      <c r="K8" s="7"/>
      <c r="L8" s="7"/>
      <c r="M8" s="58"/>
      <c r="N8" s="66"/>
    </row>
    <row r="9" spans="1:14" s="1" customFormat="1" ht="25.5" customHeight="1">
      <c r="A9" s="2" t="s">
        <v>8</v>
      </c>
      <c r="B9" s="18" t="s">
        <v>9</v>
      </c>
      <c r="C9" s="326" t="s">
        <v>5</v>
      </c>
      <c r="D9" s="18" t="s">
        <v>6</v>
      </c>
      <c r="E9" s="18" t="s">
        <v>7</v>
      </c>
      <c r="F9" s="2" t="s">
        <v>38</v>
      </c>
      <c r="G9" s="2" t="s">
        <v>39</v>
      </c>
      <c r="H9" s="2" t="s">
        <v>40</v>
      </c>
      <c r="I9" s="2" t="s">
        <v>41</v>
      </c>
      <c r="J9" s="2" t="s">
        <v>42</v>
      </c>
      <c r="K9" s="2" t="s">
        <v>43</v>
      </c>
      <c r="L9" s="17" t="s">
        <v>10</v>
      </c>
      <c r="M9" s="59" t="s">
        <v>44</v>
      </c>
      <c r="N9" s="66"/>
    </row>
    <row r="10" spans="1:14" s="1" customFormat="1" ht="12.75">
      <c r="A10" s="5" t="s">
        <v>22</v>
      </c>
      <c r="B10" s="137" t="s">
        <v>156</v>
      </c>
      <c r="C10" s="55">
        <v>1990</v>
      </c>
      <c r="D10" s="155" t="s">
        <v>417</v>
      </c>
      <c r="E10" s="110" t="s">
        <v>97</v>
      </c>
      <c r="F10" s="12">
        <f>17+15+18+17+17</f>
        <v>84</v>
      </c>
      <c r="G10" s="12">
        <f>16+19+18+14+17</f>
        <v>84</v>
      </c>
      <c r="H10" s="12">
        <f>16+16+19+18+18</f>
        <v>87</v>
      </c>
      <c r="I10" s="12">
        <f>17+19+15+18+18</f>
        <v>87</v>
      </c>
      <c r="J10" s="12"/>
      <c r="K10" s="12"/>
      <c r="L10" s="9">
        <f>SUM(F10:K10)</f>
        <v>342</v>
      </c>
      <c r="M10" s="60" t="s">
        <v>265</v>
      </c>
      <c r="N10" s="66"/>
    </row>
    <row r="11" spans="1:14" s="1" customFormat="1" ht="12.75">
      <c r="A11" s="5" t="s">
        <v>23</v>
      </c>
      <c r="B11" s="365" t="s">
        <v>259</v>
      </c>
      <c r="C11" s="4">
        <v>1994</v>
      </c>
      <c r="D11" s="4">
        <v>31673</v>
      </c>
      <c r="E11" s="4" t="s">
        <v>352</v>
      </c>
      <c r="F11" s="12">
        <f>17+14+17+15+18</f>
        <v>81</v>
      </c>
      <c r="G11" s="12">
        <f>18+17+14+13+15</f>
        <v>77</v>
      </c>
      <c r="H11" s="12">
        <f>15+12+14+17+11</f>
        <v>69</v>
      </c>
      <c r="I11" s="12">
        <f>20+17+17+15+12</f>
        <v>81</v>
      </c>
      <c r="K11" s="12"/>
      <c r="L11" s="9">
        <f>SUM(F11:K11)</f>
        <v>308</v>
      </c>
      <c r="M11" s="60"/>
      <c r="N11" s="66"/>
    </row>
    <row r="12" spans="1:14" s="1" customFormat="1" ht="24.75" customHeight="1">
      <c r="A12" s="6" t="s">
        <v>20</v>
      </c>
      <c r="B12" s="7"/>
      <c r="C12" s="8"/>
      <c r="D12" s="8"/>
      <c r="E12" s="8"/>
      <c r="F12" s="7"/>
      <c r="G12" s="7"/>
      <c r="H12" s="7"/>
      <c r="I12" s="7"/>
      <c r="J12" s="7"/>
      <c r="K12" s="7"/>
      <c r="L12" s="7"/>
      <c r="M12" s="58"/>
      <c r="N12" s="66"/>
    </row>
    <row r="13" spans="1:15" s="1" customFormat="1" ht="25.5" customHeight="1">
      <c r="A13" s="2" t="s">
        <v>8</v>
      </c>
      <c r="B13" s="18" t="s">
        <v>9</v>
      </c>
      <c r="C13" s="18" t="s">
        <v>5</v>
      </c>
      <c r="D13" s="18" t="s">
        <v>6</v>
      </c>
      <c r="E13" s="18" t="s">
        <v>7</v>
      </c>
      <c r="F13" s="2" t="s">
        <v>38</v>
      </c>
      <c r="G13" s="2" t="s">
        <v>39</v>
      </c>
      <c r="H13" s="2" t="s">
        <v>40</v>
      </c>
      <c r="I13" s="2" t="s">
        <v>41</v>
      </c>
      <c r="J13" s="2" t="s">
        <v>42</v>
      </c>
      <c r="K13" s="2" t="s">
        <v>43</v>
      </c>
      <c r="L13" s="17" t="s">
        <v>10</v>
      </c>
      <c r="M13" s="59" t="s">
        <v>44</v>
      </c>
      <c r="N13" s="67" t="s">
        <v>100</v>
      </c>
      <c r="O13" s="27"/>
    </row>
    <row r="14" spans="1:21" s="1" customFormat="1" ht="12.75">
      <c r="A14" s="5" t="s">
        <v>22</v>
      </c>
      <c r="B14" s="137" t="s">
        <v>284</v>
      </c>
      <c r="C14" s="109">
        <v>1957</v>
      </c>
      <c r="D14" s="4">
        <v>32651</v>
      </c>
      <c r="E14" s="109" t="s">
        <v>349</v>
      </c>
      <c r="F14" s="4">
        <f>18+17+19+19+20</f>
        <v>93</v>
      </c>
      <c r="G14" s="4">
        <f>19+20+18+19+20</f>
        <v>96</v>
      </c>
      <c r="H14" s="4">
        <f>18+20+20+18+19</f>
        <v>95</v>
      </c>
      <c r="I14" s="4">
        <f>20+17+18+18+18</f>
        <v>91</v>
      </c>
      <c r="J14" s="4">
        <f>19+19+18+19+17</f>
        <v>92</v>
      </c>
      <c r="K14" s="4">
        <f>19+18+20+18+19</f>
        <v>94</v>
      </c>
      <c r="L14" s="9">
        <f aca="true" t="shared" si="0" ref="L14:L25">SUM(F14:K14)</f>
        <v>561</v>
      </c>
      <c r="M14" s="57" t="s">
        <v>358</v>
      </c>
      <c r="N14" s="66">
        <f aca="true" t="shared" si="1" ref="N14:N25">SUM(F14:I14)</f>
        <v>375</v>
      </c>
      <c r="O14" s="66"/>
      <c r="P14" s="66"/>
      <c r="Q14" s="66"/>
      <c r="R14" s="66"/>
      <c r="S14" s="66"/>
      <c r="T14" s="66"/>
      <c r="U14" s="66"/>
    </row>
    <row r="15" spans="1:14" s="1" customFormat="1" ht="12.75">
      <c r="A15" s="5" t="s">
        <v>23</v>
      </c>
      <c r="B15" s="137" t="s">
        <v>360</v>
      </c>
      <c r="C15" s="109">
        <v>1970</v>
      </c>
      <c r="D15" s="4">
        <v>29592</v>
      </c>
      <c r="E15" s="109" t="s">
        <v>349</v>
      </c>
      <c r="F15" s="4">
        <f>18+18+20+18+19</f>
        <v>93</v>
      </c>
      <c r="G15" s="4">
        <f>20+19+18+18+19</f>
        <v>94</v>
      </c>
      <c r="H15" s="4">
        <f>18+19+19+19+19</f>
        <v>94</v>
      </c>
      <c r="I15" s="4">
        <f>19+19+18+18+19</f>
        <v>93</v>
      </c>
      <c r="J15" s="4">
        <f>18+17+19+18+19</f>
        <v>91</v>
      </c>
      <c r="K15" s="4">
        <f>20+17+19+20+19</f>
        <v>95</v>
      </c>
      <c r="L15" s="9">
        <f t="shared" si="0"/>
        <v>560</v>
      </c>
      <c r="M15" s="57" t="s">
        <v>266</v>
      </c>
      <c r="N15" s="66">
        <f t="shared" si="1"/>
        <v>374</v>
      </c>
    </row>
    <row r="16" spans="1:14" s="1" customFormat="1" ht="12.75">
      <c r="A16" s="5" t="s">
        <v>24</v>
      </c>
      <c r="B16" s="159" t="s">
        <v>49</v>
      </c>
      <c r="C16" s="56">
        <v>1954</v>
      </c>
      <c r="D16" s="4">
        <v>17785</v>
      </c>
      <c r="E16" s="4" t="s">
        <v>97</v>
      </c>
      <c r="F16" s="4">
        <f>18+18+18+17+18</f>
        <v>89</v>
      </c>
      <c r="G16" s="4">
        <f>17+18+16+20+18</f>
        <v>89</v>
      </c>
      <c r="H16" s="4">
        <f>20+19+20+18+18</f>
        <v>95</v>
      </c>
      <c r="I16" s="4">
        <f>19+20+20+20+18</f>
        <v>97</v>
      </c>
      <c r="J16" s="4">
        <f>20+18+19+19+20</f>
        <v>96</v>
      </c>
      <c r="K16" s="4">
        <f>19+19+19+18+19</f>
        <v>94</v>
      </c>
      <c r="L16" s="9">
        <f t="shared" si="0"/>
        <v>560</v>
      </c>
      <c r="M16" s="57" t="s">
        <v>358</v>
      </c>
      <c r="N16" s="66">
        <f t="shared" si="1"/>
        <v>370</v>
      </c>
    </row>
    <row r="17" spans="1:14" s="1" customFormat="1" ht="12.75">
      <c r="A17" s="5" t="s">
        <v>25</v>
      </c>
      <c r="B17" s="137" t="s">
        <v>129</v>
      </c>
      <c r="C17" s="55">
        <v>1935</v>
      </c>
      <c r="D17" s="4">
        <v>1794</v>
      </c>
      <c r="E17" s="109" t="s">
        <v>348</v>
      </c>
      <c r="F17" s="4">
        <f>17+17+16+15+19</f>
        <v>84</v>
      </c>
      <c r="G17" s="4">
        <f>20+17+20+20+20</f>
        <v>97</v>
      </c>
      <c r="H17" s="4">
        <f>19+19+19+17+17</f>
        <v>91</v>
      </c>
      <c r="I17" s="4">
        <f>16+19+18+19+18</f>
        <v>90</v>
      </c>
      <c r="J17" s="4">
        <f>18+19+19+18+17</f>
        <v>91</v>
      </c>
      <c r="K17" s="4">
        <f>18+19+18+19+19</f>
        <v>93</v>
      </c>
      <c r="L17" s="9">
        <f t="shared" si="0"/>
        <v>546</v>
      </c>
      <c r="M17" s="57" t="s">
        <v>358</v>
      </c>
      <c r="N17" s="66">
        <f t="shared" si="1"/>
        <v>362</v>
      </c>
    </row>
    <row r="18" spans="1:14" s="1" customFormat="1" ht="12.75">
      <c r="A18" s="5" t="s">
        <v>26</v>
      </c>
      <c r="B18" s="367" t="s">
        <v>297</v>
      </c>
      <c r="C18" s="109">
        <v>1969</v>
      </c>
      <c r="D18" s="4" t="s">
        <v>350</v>
      </c>
      <c r="E18" s="4" t="s">
        <v>351</v>
      </c>
      <c r="F18" s="4">
        <f>17+18+17+18+17</f>
        <v>87</v>
      </c>
      <c r="G18" s="4">
        <f>20+19+17+20+20</f>
        <v>96</v>
      </c>
      <c r="H18" s="4">
        <f>19+20+17+18+17</f>
        <v>91</v>
      </c>
      <c r="I18" s="4">
        <f>18+17+18+19+19</f>
        <v>91</v>
      </c>
      <c r="J18" s="4">
        <f>18+18+17+19+17</f>
        <v>89</v>
      </c>
      <c r="K18" s="4">
        <f>20+18+17+18+19</f>
        <v>92</v>
      </c>
      <c r="L18" s="9">
        <f t="shared" si="0"/>
        <v>546</v>
      </c>
      <c r="M18" s="57" t="s">
        <v>266</v>
      </c>
      <c r="N18" s="66">
        <f t="shared" si="1"/>
        <v>365</v>
      </c>
    </row>
    <row r="19" spans="1:14" s="1" customFormat="1" ht="12.75">
      <c r="A19" s="5" t="s">
        <v>27</v>
      </c>
      <c r="B19" s="137" t="s">
        <v>48</v>
      </c>
      <c r="C19" s="55">
        <v>1976</v>
      </c>
      <c r="D19" s="203">
        <v>32462</v>
      </c>
      <c r="E19" s="12" t="s">
        <v>97</v>
      </c>
      <c r="F19" s="4">
        <f>18+18+17+19+16</f>
        <v>88</v>
      </c>
      <c r="G19" s="4">
        <f>18+19+19+17+19</f>
        <v>92</v>
      </c>
      <c r="H19" s="4">
        <f>17+17+19+19+19</f>
        <v>91</v>
      </c>
      <c r="I19" s="4">
        <f>18+18+17+19+19</f>
        <v>91</v>
      </c>
      <c r="J19" s="4">
        <f>19+18+19+17+20</f>
        <v>93</v>
      </c>
      <c r="K19" s="4">
        <f>18+18+17+16+17</f>
        <v>86</v>
      </c>
      <c r="L19" s="9">
        <f t="shared" si="0"/>
        <v>541</v>
      </c>
      <c r="M19" s="57" t="s">
        <v>265</v>
      </c>
      <c r="N19" s="66">
        <f t="shared" si="1"/>
        <v>362</v>
      </c>
    </row>
    <row r="20" spans="1:14" s="1" customFormat="1" ht="12.75">
      <c r="A20" s="5" t="s">
        <v>28</v>
      </c>
      <c r="B20" s="366" t="s">
        <v>344</v>
      </c>
      <c r="C20" s="369">
        <v>1975</v>
      </c>
      <c r="D20" s="4">
        <v>23672</v>
      </c>
      <c r="E20" s="4" t="s">
        <v>349</v>
      </c>
      <c r="F20" s="4">
        <f>18+19+16+18+18</f>
        <v>89</v>
      </c>
      <c r="G20" s="4">
        <f>19+18+18+16+18</f>
        <v>89</v>
      </c>
      <c r="H20" s="8">
        <f>18+17+17+18+18</f>
        <v>88</v>
      </c>
      <c r="I20" s="4">
        <f>19+20+16+17+17</f>
        <v>89</v>
      </c>
      <c r="J20" s="4">
        <f>18+18+18+18+19</f>
        <v>91</v>
      </c>
      <c r="K20" s="4">
        <f>19+19+18+19+18</f>
        <v>93</v>
      </c>
      <c r="L20" s="9">
        <f t="shared" si="0"/>
        <v>539</v>
      </c>
      <c r="M20" s="57" t="s">
        <v>265</v>
      </c>
      <c r="N20" s="66">
        <f t="shared" si="1"/>
        <v>355</v>
      </c>
    </row>
    <row r="21" spans="1:14" s="1" customFormat="1" ht="12.75">
      <c r="A21" s="5" t="s">
        <v>29</v>
      </c>
      <c r="B21" s="137" t="s">
        <v>96</v>
      </c>
      <c r="C21" s="55">
        <v>1992</v>
      </c>
      <c r="D21" s="160">
        <v>35409</v>
      </c>
      <c r="E21" s="56" t="s">
        <v>98</v>
      </c>
      <c r="F21" s="4">
        <v>95</v>
      </c>
      <c r="G21" s="4">
        <v>78</v>
      </c>
      <c r="H21" s="4">
        <v>91</v>
      </c>
      <c r="I21" s="4">
        <v>92</v>
      </c>
      <c r="J21" s="4">
        <v>90</v>
      </c>
      <c r="K21" s="4">
        <v>88</v>
      </c>
      <c r="L21" s="9">
        <f t="shared" si="0"/>
        <v>534</v>
      </c>
      <c r="M21" s="57" t="s">
        <v>265</v>
      </c>
      <c r="N21" s="66">
        <f t="shared" si="1"/>
        <v>356</v>
      </c>
    </row>
    <row r="22" spans="1:14" s="1" customFormat="1" ht="12.75">
      <c r="A22" s="5" t="s">
        <v>30</v>
      </c>
      <c r="B22" s="137" t="s">
        <v>148</v>
      </c>
      <c r="C22" s="55">
        <v>1978</v>
      </c>
      <c r="D22" s="4" t="s">
        <v>353</v>
      </c>
      <c r="E22" s="4" t="s">
        <v>354</v>
      </c>
      <c r="F22" s="4">
        <f>19+19+19+17+18</f>
        <v>92</v>
      </c>
      <c r="G22" s="4">
        <f>19+17+18+17+17</f>
        <v>88</v>
      </c>
      <c r="H22" s="4">
        <f>18+17+17+18+17</f>
        <v>87</v>
      </c>
      <c r="I22" s="4">
        <f>18+19+15+17+18</f>
        <v>87</v>
      </c>
      <c r="J22" s="4">
        <f>19+17+18+16+17</f>
        <v>87</v>
      </c>
      <c r="K22" s="4">
        <f>15+14+14+19+19</f>
        <v>81</v>
      </c>
      <c r="L22" s="9">
        <f t="shared" si="0"/>
        <v>522</v>
      </c>
      <c r="M22" s="57" t="s">
        <v>265</v>
      </c>
      <c r="N22" s="66">
        <f t="shared" si="1"/>
        <v>354</v>
      </c>
    </row>
    <row r="23" spans="1:14" s="1" customFormat="1" ht="12.75">
      <c r="A23" s="5" t="s">
        <v>31</v>
      </c>
      <c r="B23" s="137" t="s">
        <v>134</v>
      </c>
      <c r="C23" s="55">
        <v>1955</v>
      </c>
      <c r="D23" s="12">
        <v>17071</v>
      </c>
      <c r="E23" s="12" t="s">
        <v>355</v>
      </c>
      <c r="F23" s="4">
        <f>19+17+16+18+17</f>
        <v>87</v>
      </c>
      <c r="G23" s="4">
        <f>19+18+15+19+18</f>
        <v>89</v>
      </c>
      <c r="H23" s="4">
        <f>18+18+20+18+16</f>
        <v>90</v>
      </c>
      <c r="I23" s="4">
        <f>18+16+16+17+17</f>
        <v>84</v>
      </c>
      <c r="J23" s="4">
        <f>19+17+18+16+18</f>
        <v>88</v>
      </c>
      <c r="K23" s="4">
        <f>17+17+16+17+16</f>
        <v>83</v>
      </c>
      <c r="L23" s="9">
        <f t="shared" si="0"/>
        <v>521</v>
      </c>
      <c r="M23" s="57" t="s">
        <v>265</v>
      </c>
      <c r="N23" s="66">
        <f t="shared" si="1"/>
        <v>350</v>
      </c>
    </row>
    <row r="24" spans="1:14" s="1" customFormat="1" ht="12.75">
      <c r="A24" s="5" t="s">
        <v>32</v>
      </c>
      <c r="B24" s="15" t="s">
        <v>50</v>
      </c>
      <c r="C24" s="4">
        <v>1977</v>
      </c>
      <c r="D24" s="109">
        <v>31241</v>
      </c>
      <c r="E24" s="107" t="s">
        <v>97</v>
      </c>
      <c r="F24" s="4">
        <f>18+16+15+19+17</f>
        <v>85</v>
      </c>
      <c r="G24" s="4">
        <f>18+16+16+17+17</f>
        <v>84</v>
      </c>
      <c r="H24" s="4">
        <f>20+17+17+15+19</f>
        <v>88</v>
      </c>
      <c r="I24" s="4">
        <f>16+18+18+15+19</f>
        <v>86</v>
      </c>
      <c r="J24" s="4">
        <f>16+15+15+18+17</f>
        <v>81</v>
      </c>
      <c r="K24" s="4">
        <f>18+17+16+16+18</f>
        <v>85</v>
      </c>
      <c r="L24" s="9">
        <f t="shared" si="0"/>
        <v>509</v>
      </c>
      <c r="M24" s="57"/>
      <c r="N24" s="66">
        <f t="shared" si="1"/>
        <v>343</v>
      </c>
    </row>
    <row r="25" spans="1:14" s="1" customFormat="1" ht="12.75">
      <c r="A25" s="5" t="s">
        <v>33</v>
      </c>
      <c r="B25" s="367" t="s">
        <v>175</v>
      </c>
      <c r="C25" s="109">
        <v>1971</v>
      </c>
      <c r="D25" s="4" t="s">
        <v>340</v>
      </c>
      <c r="E25" s="4" t="s">
        <v>341</v>
      </c>
      <c r="F25" s="4">
        <f>17+16+16+17+13</f>
        <v>79</v>
      </c>
      <c r="G25" s="4">
        <f>17+19+16+18+16</f>
        <v>86</v>
      </c>
      <c r="H25" s="4">
        <f>15+19+15+18+16</f>
        <v>83</v>
      </c>
      <c r="I25" s="4">
        <f>18+18+16+18+16</f>
        <v>86</v>
      </c>
      <c r="J25" s="4">
        <f>16+17+20+14+13</f>
        <v>80</v>
      </c>
      <c r="K25" s="4">
        <f>15+16+15+17+14</f>
        <v>77</v>
      </c>
      <c r="L25" s="9">
        <f t="shared" si="0"/>
        <v>491</v>
      </c>
      <c r="M25" s="57"/>
      <c r="N25" s="66">
        <f t="shared" si="1"/>
        <v>334</v>
      </c>
    </row>
    <row r="26" spans="1:14" s="1" customFormat="1" ht="24.75" customHeight="1">
      <c r="A26" s="6" t="s">
        <v>21</v>
      </c>
      <c r="B26" s="7"/>
      <c r="C26" s="8"/>
      <c r="D26" s="8"/>
      <c r="E26" s="8"/>
      <c r="F26" s="7"/>
      <c r="G26" s="7"/>
      <c r="H26" s="7"/>
      <c r="I26" s="7"/>
      <c r="J26" s="7"/>
      <c r="K26" s="7"/>
      <c r="L26" s="7"/>
      <c r="M26" s="58"/>
      <c r="N26" s="66"/>
    </row>
    <row r="27" spans="1:14" s="1" customFormat="1" ht="25.5" customHeight="1">
      <c r="A27" s="2" t="s">
        <v>8</v>
      </c>
      <c r="B27" s="18" t="s">
        <v>17</v>
      </c>
      <c r="C27" s="18" t="s">
        <v>11</v>
      </c>
      <c r="D27" s="18" t="s">
        <v>12</v>
      </c>
      <c r="E27" s="18" t="s">
        <v>13</v>
      </c>
      <c r="F27" s="507" t="s">
        <v>14</v>
      </c>
      <c r="G27" s="507"/>
      <c r="H27" s="507" t="s">
        <v>15</v>
      </c>
      <c r="I27" s="507"/>
      <c r="J27" s="507" t="s">
        <v>16</v>
      </c>
      <c r="K27" s="507"/>
      <c r="L27" s="17" t="s">
        <v>10</v>
      </c>
      <c r="M27" s="59"/>
      <c r="N27" s="66"/>
    </row>
    <row r="28" spans="1:14" s="1" customFormat="1" ht="15">
      <c r="A28" s="5">
        <v>1</v>
      </c>
      <c r="B28" s="385" t="s">
        <v>364</v>
      </c>
      <c r="C28" s="386" t="s">
        <v>361</v>
      </c>
      <c r="D28" s="58" t="s">
        <v>362</v>
      </c>
      <c r="E28" s="57" t="s">
        <v>363</v>
      </c>
      <c r="F28" s="503">
        <v>374</v>
      </c>
      <c r="G28" s="503"/>
      <c r="H28" s="503">
        <v>375</v>
      </c>
      <c r="I28" s="503"/>
      <c r="J28" s="503">
        <v>355</v>
      </c>
      <c r="K28" s="503"/>
      <c r="L28" s="328">
        <f>SUM(F28:K28)</f>
        <v>1104</v>
      </c>
      <c r="M28" s="57"/>
      <c r="N28" s="66"/>
    </row>
    <row r="29" spans="1:14" s="1" customFormat="1" ht="15">
      <c r="A29" s="5" t="s">
        <v>318</v>
      </c>
      <c r="B29" s="387" t="s">
        <v>418</v>
      </c>
      <c r="C29" s="428" t="s">
        <v>367</v>
      </c>
      <c r="D29" s="428" t="s">
        <v>365</v>
      </c>
      <c r="E29" s="429" t="s">
        <v>457</v>
      </c>
      <c r="F29" s="503">
        <v>370</v>
      </c>
      <c r="G29" s="503"/>
      <c r="H29" s="503">
        <v>362</v>
      </c>
      <c r="I29" s="503"/>
      <c r="J29" s="503">
        <v>343</v>
      </c>
      <c r="K29" s="503"/>
      <c r="L29" s="328">
        <f>SUM(F29:K29)</f>
        <v>1075</v>
      </c>
      <c r="M29" s="57"/>
      <c r="N29" s="66"/>
    </row>
    <row r="30" spans="1:14" s="1" customFormat="1" ht="15">
      <c r="A30" s="334">
        <v>3</v>
      </c>
      <c r="B30" s="145" t="s">
        <v>354</v>
      </c>
      <c r="C30" s="107" t="s">
        <v>374</v>
      </c>
      <c r="D30" s="107" t="s">
        <v>375</v>
      </c>
      <c r="E30" s="4"/>
      <c r="F30" s="504">
        <v>354</v>
      </c>
      <c r="G30" s="504"/>
      <c r="H30" s="504">
        <v>308</v>
      </c>
      <c r="I30" s="504"/>
      <c r="J30" s="504"/>
      <c r="K30" s="504"/>
      <c r="L30" s="9">
        <f>SUM(F30:K30)</f>
        <v>662</v>
      </c>
      <c r="M30" s="57"/>
      <c r="N30" s="66"/>
    </row>
    <row r="31" spans="3:14" s="1" customFormat="1" ht="12.75">
      <c r="C31" s="4"/>
      <c r="D31" s="4"/>
      <c r="E31" s="28" t="s">
        <v>94</v>
      </c>
      <c r="F31" s="4"/>
      <c r="G31" s="4"/>
      <c r="H31" s="4"/>
      <c r="I31" s="4"/>
      <c r="J31" s="4"/>
      <c r="K31" s="4"/>
      <c r="L31" s="4"/>
      <c r="M31" s="57"/>
      <c r="N31" s="66"/>
    </row>
    <row r="32" spans="3:14" s="1" customFormat="1" ht="12.75">
      <c r="C32" s="4"/>
      <c r="D32" s="4"/>
      <c r="E32" s="28" t="s">
        <v>95</v>
      </c>
      <c r="F32" s="4"/>
      <c r="G32" s="4"/>
      <c r="H32" s="4"/>
      <c r="I32" s="4"/>
      <c r="J32" s="4"/>
      <c r="K32" s="4"/>
      <c r="L32" s="4"/>
      <c r="M32" s="57"/>
      <c r="N32" s="66"/>
    </row>
    <row r="33" spans="3:14" s="1" customFormat="1" ht="12.75">
      <c r="C33" s="4"/>
      <c r="D33" s="4"/>
      <c r="E33" s="4"/>
      <c r="F33" s="4"/>
      <c r="G33" s="4"/>
      <c r="H33" s="4"/>
      <c r="I33" s="4"/>
      <c r="J33" s="4"/>
      <c r="K33" s="4"/>
      <c r="L33" s="4"/>
      <c r="M33" s="57"/>
      <c r="N33" s="66"/>
    </row>
    <row r="34" spans="3:14" s="1" customFormat="1" ht="12.75">
      <c r="C34" s="4"/>
      <c r="D34" s="4"/>
      <c r="E34" s="28"/>
      <c r="F34" s="4"/>
      <c r="G34" s="4"/>
      <c r="H34" s="4"/>
      <c r="I34" s="4"/>
      <c r="J34" s="4"/>
      <c r="K34" s="4"/>
      <c r="L34" s="4"/>
      <c r="M34" s="57"/>
      <c r="N34" s="66"/>
    </row>
    <row r="35" spans="3:14" s="1" customFormat="1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57"/>
      <c r="N35" s="66"/>
    </row>
    <row r="36" spans="3:14" s="1" customFormat="1" ht="12.75">
      <c r="C36" s="4"/>
      <c r="D36" s="4"/>
      <c r="E36" s="4"/>
      <c r="F36" s="4"/>
      <c r="G36" s="4"/>
      <c r="H36" s="4"/>
      <c r="I36" s="4"/>
      <c r="J36" s="4"/>
      <c r="K36" s="4"/>
      <c r="L36" s="4"/>
      <c r="M36" s="57"/>
      <c r="N36" s="66"/>
    </row>
    <row r="37" spans="3:14" s="1" customFormat="1" ht="12.75">
      <c r="C37" s="4"/>
      <c r="D37" s="4"/>
      <c r="E37" s="4"/>
      <c r="F37" s="4"/>
      <c r="G37" s="4"/>
      <c r="H37" s="4"/>
      <c r="I37" s="4"/>
      <c r="J37" s="4"/>
      <c r="K37" s="4"/>
      <c r="L37" s="4"/>
      <c r="M37" s="57"/>
      <c r="N37" s="66"/>
    </row>
    <row r="38" spans="3:14" s="1" customFormat="1" ht="12.75">
      <c r="C38" s="4"/>
      <c r="D38" s="4"/>
      <c r="E38" s="4"/>
      <c r="F38" s="4"/>
      <c r="G38" s="4"/>
      <c r="H38" s="4"/>
      <c r="I38" s="4"/>
      <c r="J38" s="4"/>
      <c r="K38" s="4"/>
      <c r="L38" s="4"/>
      <c r="M38" s="57"/>
      <c r="N38" s="66"/>
    </row>
    <row r="39" spans="3:14" s="1" customFormat="1" ht="12.75">
      <c r="C39" s="4"/>
      <c r="D39" s="4"/>
      <c r="E39" s="4"/>
      <c r="F39" s="4"/>
      <c r="G39" s="4"/>
      <c r="H39" s="4"/>
      <c r="I39" s="4"/>
      <c r="J39" s="4"/>
      <c r="K39" s="4"/>
      <c r="L39" s="4"/>
      <c r="M39" s="57"/>
      <c r="N39" s="66"/>
    </row>
    <row r="40" spans="3:14" s="1" customFormat="1" ht="12.75">
      <c r="C40" s="4"/>
      <c r="D40" s="4"/>
      <c r="E40" s="4"/>
      <c r="F40" s="4"/>
      <c r="G40" s="4"/>
      <c r="H40" s="4"/>
      <c r="I40" s="4"/>
      <c r="J40" s="4"/>
      <c r="K40" s="4"/>
      <c r="L40" s="4"/>
      <c r="M40" s="57"/>
      <c r="N40" s="66"/>
    </row>
    <row r="41" spans="3:14" s="1" customFormat="1" ht="12.75">
      <c r="C41" s="4"/>
      <c r="D41" s="4"/>
      <c r="E41" s="4"/>
      <c r="F41" s="4"/>
      <c r="G41" s="4"/>
      <c r="H41" s="4"/>
      <c r="I41" s="4"/>
      <c r="J41" s="4"/>
      <c r="K41" s="4"/>
      <c r="L41" s="4"/>
      <c r="M41" s="57"/>
      <c r="N41" s="66"/>
    </row>
    <row r="42" spans="3:14" s="1" customFormat="1" ht="12.75">
      <c r="C42" s="4"/>
      <c r="D42" s="4"/>
      <c r="E42" s="4"/>
      <c r="F42" s="4"/>
      <c r="G42" s="4"/>
      <c r="H42" s="4"/>
      <c r="I42" s="4"/>
      <c r="J42" s="4"/>
      <c r="K42" s="4"/>
      <c r="L42" s="4"/>
      <c r="M42" s="57"/>
      <c r="N42" s="66"/>
    </row>
    <row r="43" spans="3:14" s="1" customFormat="1" ht="12.75">
      <c r="C43" s="4"/>
      <c r="D43" s="4"/>
      <c r="E43" s="4"/>
      <c r="F43" s="4"/>
      <c r="G43" s="4"/>
      <c r="H43" s="4"/>
      <c r="I43" s="4"/>
      <c r="J43" s="4"/>
      <c r="K43" s="4"/>
      <c r="L43" s="4"/>
      <c r="M43" s="57"/>
      <c r="N43" s="66"/>
    </row>
    <row r="44" spans="3:14" s="1" customFormat="1" ht="12.75">
      <c r="C44" s="4"/>
      <c r="D44" s="4"/>
      <c r="E44" s="4"/>
      <c r="F44" s="4"/>
      <c r="G44" s="4"/>
      <c r="H44" s="4"/>
      <c r="I44" s="4"/>
      <c r="J44" s="4"/>
      <c r="K44" s="4"/>
      <c r="L44" s="4"/>
      <c r="M44" s="57"/>
      <c r="N44" s="66"/>
    </row>
    <row r="45" spans="3:14" s="1" customFormat="1" ht="12.75">
      <c r="C45" s="4"/>
      <c r="D45" s="4"/>
      <c r="E45" s="4"/>
      <c r="F45" s="4"/>
      <c r="G45" s="4"/>
      <c r="H45" s="4"/>
      <c r="I45" s="4"/>
      <c r="K45" s="4"/>
      <c r="L45" s="4"/>
      <c r="M45" s="57"/>
      <c r="N45" s="66"/>
    </row>
    <row r="46" spans="3:14" s="1" customFormat="1" ht="12.75">
      <c r="C46" s="4"/>
      <c r="D46" s="4"/>
      <c r="E46" s="4"/>
      <c r="F46" s="4"/>
      <c r="G46" s="4"/>
      <c r="H46" s="4"/>
      <c r="I46" s="4"/>
      <c r="J46" s="4"/>
      <c r="K46" s="4"/>
      <c r="L46" s="4"/>
      <c r="M46" s="57"/>
      <c r="N46" s="66"/>
    </row>
    <row r="47" spans="3:14" s="1" customFormat="1" ht="12.75">
      <c r="C47" s="4"/>
      <c r="D47" s="4"/>
      <c r="E47" s="4"/>
      <c r="F47" s="4"/>
      <c r="G47" s="4"/>
      <c r="H47" s="4"/>
      <c r="I47" s="4"/>
      <c r="J47" s="4"/>
      <c r="K47" s="4"/>
      <c r="L47" s="4"/>
      <c r="M47" s="57"/>
      <c r="N47" s="66"/>
    </row>
    <row r="48" spans="3:14" s="1" customFormat="1" ht="12.75">
      <c r="C48" s="4"/>
      <c r="D48" s="4"/>
      <c r="E48" s="4"/>
      <c r="F48" s="4"/>
      <c r="G48" s="4"/>
      <c r="H48" s="4"/>
      <c r="I48" s="4"/>
      <c r="J48" s="4"/>
      <c r="K48" s="4"/>
      <c r="L48" s="4"/>
      <c r="M48" s="57"/>
      <c r="N48" s="66"/>
    </row>
    <row r="49" spans="3:14" s="1" customFormat="1" ht="12.75">
      <c r="C49" s="4"/>
      <c r="D49" s="4"/>
      <c r="E49" s="4"/>
      <c r="F49" s="4"/>
      <c r="G49" s="4"/>
      <c r="H49" s="4"/>
      <c r="I49" s="4"/>
      <c r="J49" s="4"/>
      <c r="K49" s="4"/>
      <c r="L49" s="4"/>
      <c r="M49" s="57"/>
      <c r="N49" s="66"/>
    </row>
    <row r="50" spans="3:14" s="1" customFormat="1" ht="12.75">
      <c r="C50" s="4"/>
      <c r="D50" s="4"/>
      <c r="E50" s="4"/>
      <c r="F50" s="4"/>
      <c r="G50" s="4"/>
      <c r="H50" s="4"/>
      <c r="I50" s="4"/>
      <c r="J50" s="4"/>
      <c r="K50" s="4"/>
      <c r="L50" s="4"/>
      <c r="M50" s="57"/>
      <c r="N50" s="66"/>
    </row>
    <row r="51" spans="3:14" s="1" customFormat="1" ht="12.75">
      <c r="C51" s="4"/>
      <c r="D51" s="4"/>
      <c r="E51" s="4"/>
      <c r="F51" s="4"/>
      <c r="G51" s="4"/>
      <c r="H51" s="4"/>
      <c r="I51" s="4"/>
      <c r="J51" s="4"/>
      <c r="K51" s="4"/>
      <c r="L51" s="4"/>
      <c r="M51" s="57"/>
      <c r="N51" s="66"/>
    </row>
    <row r="52" spans="3:14" s="1" customFormat="1" ht="12.75">
      <c r="C52" s="4"/>
      <c r="D52" s="4"/>
      <c r="E52" s="4"/>
      <c r="F52" s="4"/>
      <c r="G52" s="4"/>
      <c r="H52" s="4"/>
      <c r="I52" s="4"/>
      <c r="J52" s="4"/>
      <c r="K52" s="4"/>
      <c r="L52" s="4"/>
      <c r="M52" s="57"/>
      <c r="N52" s="66"/>
    </row>
    <row r="53" spans="3:14" s="1" customFormat="1" ht="12.75">
      <c r="C53" s="4"/>
      <c r="D53" s="4"/>
      <c r="E53" s="4"/>
      <c r="F53" s="4"/>
      <c r="G53" s="4"/>
      <c r="H53" s="4"/>
      <c r="I53" s="4"/>
      <c r="J53" s="4"/>
      <c r="K53" s="4"/>
      <c r="L53" s="4"/>
      <c r="M53" s="57"/>
      <c r="N53" s="66"/>
    </row>
    <row r="54" spans="3:14" s="1" customFormat="1" ht="12.75">
      <c r="C54" s="4"/>
      <c r="D54" s="4"/>
      <c r="E54" s="4"/>
      <c r="F54" s="4"/>
      <c r="G54" s="4"/>
      <c r="H54" s="4"/>
      <c r="I54" s="4"/>
      <c r="J54" s="4"/>
      <c r="K54" s="4"/>
      <c r="L54" s="4"/>
      <c r="M54" s="57"/>
      <c r="N54" s="66"/>
    </row>
    <row r="55" spans="3:14" s="1" customFormat="1" ht="12.75">
      <c r="C55" s="4"/>
      <c r="D55" s="4"/>
      <c r="E55" s="4"/>
      <c r="F55" s="4"/>
      <c r="G55" s="4"/>
      <c r="H55" s="4"/>
      <c r="I55" s="4"/>
      <c r="J55" s="4"/>
      <c r="K55" s="4"/>
      <c r="L55" s="4"/>
      <c r="M55" s="57"/>
      <c r="N55" s="66"/>
    </row>
    <row r="56" spans="3:14" s="1" customFormat="1" ht="12.75">
      <c r="C56" s="4"/>
      <c r="D56" s="4"/>
      <c r="E56" s="4"/>
      <c r="F56" s="4"/>
      <c r="G56" s="4"/>
      <c r="H56" s="4"/>
      <c r="I56" s="4"/>
      <c r="J56" s="4"/>
      <c r="K56" s="4"/>
      <c r="L56" s="4"/>
      <c r="M56" s="57"/>
      <c r="N56" s="66"/>
    </row>
    <row r="57" spans="3:14" s="1" customFormat="1" ht="12.75">
      <c r="C57" s="4"/>
      <c r="D57" s="4"/>
      <c r="E57" s="4"/>
      <c r="F57" s="4"/>
      <c r="G57" s="4"/>
      <c r="H57" s="4"/>
      <c r="I57" s="4"/>
      <c r="J57" s="4"/>
      <c r="K57" s="4"/>
      <c r="L57" s="4"/>
      <c r="M57" s="57"/>
      <c r="N57" s="66"/>
    </row>
    <row r="58" spans="3:14" s="1" customFormat="1" ht="12.75">
      <c r="C58" s="4"/>
      <c r="D58" s="4"/>
      <c r="E58" s="4"/>
      <c r="F58" s="4"/>
      <c r="G58" s="4"/>
      <c r="H58" s="4"/>
      <c r="I58" s="4"/>
      <c r="J58" s="4"/>
      <c r="K58" s="4"/>
      <c r="L58" s="4"/>
      <c r="M58" s="57"/>
      <c r="N58" s="66"/>
    </row>
    <row r="59" spans="3:14" s="1" customFormat="1" ht="12.75">
      <c r="C59" s="4"/>
      <c r="D59" s="4"/>
      <c r="E59" s="4"/>
      <c r="F59" s="4"/>
      <c r="G59" s="4"/>
      <c r="H59" s="4"/>
      <c r="I59" s="4"/>
      <c r="J59" s="4"/>
      <c r="K59" s="4"/>
      <c r="L59" s="4"/>
      <c r="M59" s="57"/>
      <c r="N59" s="66"/>
    </row>
    <row r="60" spans="3:14" s="1" customFormat="1" ht="12.75">
      <c r="C60" s="4"/>
      <c r="D60" s="4"/>
      <c r="E60" s="4"/>
      <c r="F60" s="4"/>
      <c r="G60" s="4"/>
      <c r="H60" s="4"/>
      <c r="I60" s="4"/>
      <c r="J60" s="4"/>
      <c r="K60" s="4"/>
      <c r="L60" s="4"/>
      <c r="M60" s="57"/>
      <c r="N60" s="66"/>
    </row>
    <row r="61" spans="3:14" s="1" customFormat="1" ht="12.75">
      <c r="C61" s="4"/>
      <c r="D61" s="4"/>
      <c r="E61" s="4"/>
      <c r="F61" s="4"/>
      <c r="G61" s="4"/>
      <c r="H61" s="4"/>
      <c r="I61" s="4"/>
      <c r="J61" s="4"/>
      <c r="K61" s="4"/>
      <c r="L61" s="4"/>
      <c r="M61" s="57"/>
      <c r="N61" s="66"/>
    </row>
    <row r="62" spans="3:14" s="1" customFormat="1" ht="12.75">
      <c r="C62" s="4"/>
      <c r="D62" s="4"/>
      <c r="E62" s="4"/>
      <c r="F62" s="4"/>
      <c r="G62" s="4"/>
      <c r="H62" s="4"/>
      <c r="I62" s="4"/>
      <c r="J62" s="4"/>
      <c r="K62" s="4"/>
      <c r="L62" s="4"/>
      <c r="M62" s="57"/>
      <c r="N62" s="66"/>
    </row>
    <row r="63" spans="3:14" s="1" customFormat="1" ht="12.75">
      <c r="C63" s="4"/>
      <c r="D63" s="4"/>
      <c r="E63" s="4"/>
      <c r="F63" s="4"/>
      <c r="G63" s="4"/>
      <c r="H63" s="4"/>
      <c r="I63" s="4"/>
      <c r="J63" s="4"/>
      <c r="K63" s="4"/>
      <c r="L63" s="4"/>
      <c r="M63" s="57"/>
      <c r="N63" s="66"/>
    </row>
    <row r="64" spans="3:14" s="1" customFormat="1" ht="12.75">
      <c r="C64" s="4"/>
      <c r="D64" s="4"/>
      <c r="E64" s="4"/>
      <c r="F64" s="4"/>
      <c r="G64" s="4"/>
      <c r="H64" s="4"/>
      <c r="I64" s="4"/>
      <c r="J64" s="4"/>
      <c r="K64" s="4"/>
      <c r="L64" s="4"/>
      <c r="M64" s="57"/>
      <c r="N64" s="66"/>
    </row>
    <row r="65" spans="3:14" s="1" customFormat="1" ht="12.75">
      <c r="C65" s="4"/>
      <c r="D65" s="4"/>
      <c r="E65" s="4"/>
      <c r="F65" s="4"/>
      <c r="G65" s="4"/>
      <c r="H65" s="4"/>
      <c r="I65" s="4"/>
      <c r="J65" s="4"/>
      <c r="K65" s="4"/>
      <c r="L65" s="4"/>
      <c r="M65" s="57"/>
      <c r="N65" s="66"/>
    </row>
    <row r="66" spans="3:14" s="1" customFormat="1" ht="12.75">
      <c r="C66" s="4"/>
      <c r="D66" s="4"/>
      <c r="E66" s="4"/>
      <c r="F66" s="4"/>
      <c r="G66" s="4"/>
      <c r="H66" s="4"/>
      <c r="I66" s="4"/>
      <c r="J66" s="4"/>
      <c r="K66" s="4"/>
      <c r="L66" s="4"/>
      <c r="M66" s="57"/>
      <c r="N66" s="66"/>
    </row>
    <row r="67" spans="3:14" s="1" customFormat="1" ht="12.75">
      <c r="C67" s="4"/>
      <c r="D67" s="4"/>
      <c r="E67" s="4"/>
      <c r="F67" s="4"/>
      <c r="G67" s="4"/>
      <c r="H67" s="4"/>
      <c r="I67" s="4"/>
      <c r="J67" s="4"/>
      <c r="K67" s="4"/>
      <c r="L67" s="4"/>
      <c r="M67" s="57"/>
      <c r="N67" s="66"/>
    </row>
    <row r="68" spans="3:14" s="1" customFormat="1" ht="12.75">
      <c r="C68" s="4"/>
      <c r="D68" s="4"/>
      <c r="E68" s="4"/>
      <c r="F68" s="4"/>
      <c r="G68" s="4"/>
      <c r="H68" s="4"/>
      <c r="I68" s="4"/>
      <c r="J68" s="4"/>
      <c r="K68" s="4"/>
      <c r="L68" s="4"/>
      <c r="M68" s="57"/>
      <c r="N68" s="66"/>
    </row>
    <row r="69" spans="3:14" s="1" customFormat="1" ht="12.75">
      <c r="C69" s="4"/>
      <c r="D69" s="4"/>
      <c r="E69" s="4"/>
      <c r="F69" s="4"/>
      <c r="G69" s="4"/>
      <c r="H69" s="4"/>
      <c r="I69" s="4"/>
      <c r="J69" s="4"/>
      <c r="K69" s="4"/>
      <c r="L69" s="4"/>
      <c r="M69" s="57"/>
      <c r="N69" s="66"/>
    </row>
    <row r="70" spans="3:14" s="1" customFormat="1" ht="12.75">
      <c r="C70" s="4"/>
      <c r="D70" s="4"/>
      <c r="E70" s="4"/>
      <c r="F70" s="4"/>
      <c r="G70" s="4"/>
      <c r="H70" s="4"/>
      <c r="I70" s="4"/>
      <c r="J70" s="4"/>
      <c r="K70" s="4"/>
      <c r="L70" s="4"/>
      <c r="M70" s="57"/>
      <c r="N70" s="66"/>
    </row>
    <row r="71" spans="3:14" s="1" customFormat="1" ht="12.75">
      <c r="C71" s="4"/>
      <c r="D71" s="4"/>
      <c r="E71" s="4"/>
      <c r="F71" s="4"/>
      <c r="G71" s="4"/>
      <c r="H71" s="4"/>
      <c r="I71" s="4"/>
      <c r="J71" s="4"/>
      <c r="K71" s="4"/>
      <c r="L71" s="4"/>
      <c r="M71" s="57"/>
      <c r="N71" s="66"/>
    </row>
    <row r="72" spans="3:14" s="1" customFormat="1" ht="12.75">
      <c r="C72" s="4"/>
      <c r="D72" s="4"/>
      <c r="E72" s="4"/>
      <c r="F72" s="4"/>
      <c r="G72" s="4"/>
      <c r="H72" s="4"/>
      <c r="I72" s="4"/>
      <c r="J72" s="4"/>
      <c r="K72" s="4"/>
      <c r="L72" s="4"/>
      <c r="M72" s="57"/>
      <c r="N72" s="66"/>
    </row>
    <row r="73" spans="3:14" s="1" customFormat="1" ht="12.75">
      <c r="C73" s="4"/>
      <c r="D73" s="4"/>
      <c r="E73" s="4"/>
      <c r="F73" s="4"/>
      <c r="G73" s="4"/>
      <c r="H73" s="4"/>
      <c r="I73" s="4"/>
      <c r="J73" s="4"/>
      <c r="K73" s="4"/>
      <c r="L73" s="4"/>
      <c r="M73" s="57"/>
      <c r="N73" s="66"/>
    </row>
    <row r="74" spans="3:14" s="1" customFormat="1" ht="12.75">
      <c r="C74" s="4"/>
      <c r="D74" s="4"/>
      <c r="E74" s="4"/>
      <c r="F74" s="4"/>
      <c r="G74" s="4"/>
      <c r="H74" s="4"/>
      <c r="I74" s="4"/>
      <c r="J74" s="4"/>
      <c r="K74" s="4"/>
      <c r="L74" s="4"/>
      <c r="M74" s="57"/>
      <c r="N74" s="66"/>
    </row>
    <row r="75" spans="3:14" s="1" customFormat="1" ht="12.75">
      <c r="C75" s="4"/>
      <c r="D75" s="4"/>
      <c r="E75" s="4"/>
      <c r="F75" s="4"/>
      <c r="G75" s="4"/>
      <c r="H75" s="4"/>
      <c r="I75" s="4"/>
      <c r="J75" s="4"/>
      <c r="K75" s="4"/>
      <c r="L75" s="4"/>
      <c r="M75" s="57"/>
      <c r="N75" s="66"/>
    </row>
    <row r="76" spans="3:14" s="1" customFormat="1" ht="12.75">
      <c r="C76" s="4"/>
      <c r="D76" s="4"/>
      <c r="E76" s="4"/>
      <c r="F76" s="4"/>
      <c r="G76" s="4"/>
      <c r="H76" s="4"/>
      <c r="I76" s="4"/>
      <c r="J76" s="4"/>
      <c r="K76" s="4"/>
      <c r="L76" s="4"/>
      <c r="M76" s="57"/>
      <c r="N76" s="66"/>
    </row>
    <row r="77" spans="3:14" s="1" customFormat="1" ht="12.75">
      <c r="C77" s="4"/>
      <c r="D77" s="4"/>
      <c r="E77" s="4"/>
      <c r="F77" s="4"/>
      <c r="G77" s="4"/>
      <c r="H77" s="4"/>
      <c r="I77" s="4"/>
      <c r="J77" s="4"/>
      <c r="K77" s="4"/>
      <c r="L77" s="4"/>
      <c r="M77" s="57"/>
      <c r="N77" s="66"/>
    </row>
    <row r="78" spans="3:14" s="1" customFormat="1" ht="12.75">
      <c r="C78" s="4"/>
      <c r="D78" s="4"/>
      <c r="E78" s="4"/>
      <c r="F78" s="4"/>
      <c r="G78" s="4"/>
      <c r="H78" s="4"/>
      <c r="I78" s="4"/>
      <c r="J78" s="4"/>
      <c r="K78" s="4"/>
      <c r="L78" s="4"/>
      <c r="M78" s="57"/>
      <c r="N78" s="66"/>
    </row>
    <row r="79" spans="3:14" s="1" customFormat="1" ht="12.75">
      <c r="C79" s="4"/>
      <c r="D79" s="4"/>
      <c r="E79" s="4"/>
      <c r="F79" s="4"/>
      <c r="G79" s="4"/>
      <c r="H79" s="4"/>
      <c r="I79" s="4"/>
      <c r="J79" s="4"/>
      <c r="K79" s="4"/>
      <c r="L79" s="4"/>
      <c r="M79" s="57"/>
      <c r="N79" s="66"/>
    </row>
    <row r="80" spans="3:14" s="1" customFormat="1" ht="12.75">
      <c r="C80" s="4"/>
      <c r="D80" s="4"/>
      <c r="E80" s="4"/>
      <c r="F80" s="4"/>
      <c r="G80" s="4"/>
      <c r="H80" s="4"/>
      <c r="I80" s="4"/>
      <c r="J80" s="4"/>
      <c r="K80" s="4"/>
      <c r="L80" s="4"/>
      <c r="M80" s="57"/>
      <c r="N80" s="66"/>
    </row>
    <row r="81" spans="3:14" s="1" customFormat="1" ht="12.75">
      <c r="C81" s="4"/>
      <c r="D81" s="4"/>
      <c r="E81" s="4"/>
      <c r="F81" s="4"/>
      <c r="G81" s="4"/>
      <c r="H81" s="4"/>
      <c r="I81" s="4"/>
      <c r="J81" s="4"/>
      <c r="K81" s="4"/>
      <c r="L81" s="4"/>
      <c r="M81" s="57"/>
      <c r="N81" s="66"/>
    </row>
    <row r="82" spans="3:14" s="1" customFormat="1" ht="12.75">
      <c r="C82" s="4"/>
      <c r="D82" s="4"/>
      <c r="E82" s="4"/>
      <c r="F82" s="4"/>
      <c r="G82" s="4"/>
      <c r="H82" s="4"/>
      <c r="I82" s="4"/>
      <c r="J82" s="4"/>
      <c r="K82" s="4"/>
      <c r="L82" s="4"/>
      <c r="M82" s="57"/>
      <c r="N82" s="66"/>
    </row>
    <row r="83" spans="3:14" s="1" customFormat="1" ht="12.75">
      <c r="C83" s="4"/>
      <c r="D83" s="4"/>
      <c r="E83" s="4"/>
      <c r="F83" s="4"/>
      <c r="G83" s="4"/>
      <c r="H83" s="4"/>
      <c r="I83" s="4"/>
      <c r="J83" s="4"/>
      <c r="K83" s="4"/>
      <c r="L83" s="4"/>
      <c r="M83" s="57"/>
      <c r="N83" s="66"/>
    </row>
    <row r="84" spans="3:14" s="1" customFormat="1" ht="12.75">
      <c r="C84" s="4"/>
      <c r="D84" s="4"/>
      <c r="E84" s="4"/>
      <c r="F84" s="4"/>
      <c r="G84" s="4"/>
      <c r="H84" s="4"/>
      <c r="I84" s="4"/>
      <c r="J84" s="4"/>
      <c r="K84" s="4"/>
      <c r="L84" s="4"/>
      <c r="M84" s="57"/>
      <c r="N84" s="66"/>
    </row>
    <row r="85" spans="3:14" s="1" customFormat="1" ht="12.75">
      <c r="C85" s="4"/>
      <c r="D85" s="4"/>
      <c r="E85" s="4"/>
      <c r="F85" s="4"/>
      <c r="G85" s="4"/>
      <c r="H85" s="4"/>
      <c r="I85" s="4"/>
      <c r="J85" s="4"/>
      <c r="K85" s="4"/>
      <c r="L85" s="4"/>
      <c r="M85" s="57"/>
      <c r="N85" s="66"/>
    </row>
    <row r="86" spans="3:14" s="1" customFormat="1" ht="12.75">
      <c r="C86" s="4"/>
      <c r="D86" s="4"/>
      <c r="E86" s="4"/>
      <c r="F86" s="4"/>
      <c r="G86" s="4"/>
      <c r="H86" s="4"/>
      <c r="I86" s="4"/>
      <c r="J86" s="4"/>
      <c r="K86" s="4"/>
      <c r="L86" s="4"/>
      <c r="M86" s="57"/>
      <c r="N86" s="66"/>
    </row>
    <row r="87" spans="3:14" s="1" customFormat="1" ht="12.75">
      <c r="C87" s="4"/>
      <c r="D87" s="4"/>
      <c r="E87" s="4"/>
      <c r="F87" s="4"/>
      <c r="G87" s="4"/>
      <c r="H87" s="4"/>
      <c r="I87" s="4"/>
      <c r="J87" s="4"/>
      <c r="K87" s="4"/>
      <c r="L87" s="4"/>
      <c r="M87" s="57"/>
      <c r="N87" s="66"/>
    </row>
    <row r="88" spans="3:14" s="1" customFormat="1" ht="12.75">
      <c r="C88" s="4"/>
      <c r="D88" s="4"/>
      <c r="E88" s="4"/>
      <c r="F88" s="4"/>
      <c r="G88" s="4"/>
      <c r="H88" s="4"/>
      <c r="I88" s="4"/>
      <c r="J88" s="4"/>
      <c r="K88" s="4"/>
      <c r="L88" s="4"/>
      <c r="M88" s="57"/>
      <c r="N88" s="66"/>
    </row>
    <row r="89" spans="3:14" s="1" customFormat="1" ht="12.75">
      <c r="C89" s="4"/>
      <c r="D89" s="4"/>
      <c r="E89" s="4"/>
      <c r="F89" s="4"/>
      <c r="G89" s="4"/>
      <c r="H89" s="4"/>
      <c r="I89" s="4"/>
      <c r="J89" s="4"/>
      <c r="K89" s="4"/>
      <c r="L89" s="4"/>
      <c r="M89" s="57"/>
      <c r="N89" s="66"/>
    </row>
    <row r="90" spans="3:14" s="1" customFormat="1" ht="12.75">
      <c r="C90" s="4"/>
      <c r="D90" s="4"/>
      <c r="E90" s="4"/>
      <c r="F90" s="4"/>
      <c r="G90" s="4"/>
      <c r="H90" s="4"/>
      <c r="I90" s="4"/>
      <c r="J90" s="4"/>
      <c r="K90" s="4"/>
      <c r="L90" s="4"/>
      <c r="M90" s="57"/>
      <c r="N90" s="66"/>
    </row>
    <row r="91" spans="3:14" s="1" customFormat="1" ht="12.75">
      <c r="C91" s="4"/>
      <c r="D91" s="4"/>
      <c r="E91" s="4"/>
      <c r="F91" s="4"/>
      <c r="G91" s="4"/>
      <c r="H91" s="4"/>
      <c r="I91" s="4"/>
      <c r="J91" s="4"/>
      <c r="K91" s="4"/>
      <c r="L91" s="4"/>
      <c r="M91" s="57"/>
      <c r="N91" s="66"/>
    </row>
    <row r="92" spans="3:14" s="1" customFormat="1" ht="12.75">
      <c r="C92" s="4"/>
      <c r="D92" s="4"/>
      <c r="E92" s="4"/>
      <c r="F92" s="4"/>
      <c r="G92" s="4"/>
      <c r="H92" s="4"/>
      <c r="I92" s="4"/>
      <c r="J92" s="4"/>
      <c r="K92" s="4"/>
      <c r="L92" s="4"/>
      <c r="M92" s="57"/>
      <c r="N92" s="66"/>
    </row>
    <row r="93" spans="3:14" s="1" customFormat="1" ht="12.75">
      <c r="C93" s="4"/>
      <c r="D93" s="4"/>
      <c r="E93" s="4"/>
      <c r="F93" s="4"/>
      <c r="G93" s="4"/>
      <c r="H93" s="4"/>
      <c r="I93" s="4"/>
      <c r="J93" s="4"/>
      <c r="K93" s="4"/>
      <c r="L93" s="4"/>
      <c r="M93" s="57"/>
      <c r="N93" s="66"/>
    </row>
    <row r="94" spans="3:14" s="1" customFormat="1" ht="12.75">
      <c r="C94" s="4"/>
      <c r="D94" s="4"/>
      <c r="E94" s="4"/>
      <c r="F94" s="4"/>
      <c r="G94" s="4"/>
      <c r="H94" s="4"/>
      <c r="I94" s="4"/>
      <c r="J94" s="4"/>
      <c r="K94" s="4"/>
      <c r="L94" s="4"/>
      <c r="M94" s="57"/>
      <c r="N94" s="66"/>
    </row>
    <row r="95" spans="3:14" s="1" customFormat="1" ht="12.75">
      <c r="C95" s="4"/>
      <c r="D95" s="4"/>
      <c r="E95" s="4"/>
      <c r="F95" s="4"/>
      <c r="G95" s="4"/>
      <c r="H95" s="4"/>
      <c r="I95" s="4"/>
      <c r="J95" s="4"/>
      <c r="K95" s="4"/>
      <c r="L95" s="4"/>
      <c r="M95" s="57"/>
      <c r="N95" s="66"/>
    </row>
    <row r="96" spans="3:14" s="1" customFormat="1" ht="12.75">
      <c r="C96" s="4"/>
      <c r="D96" s="4"/>
      <c r="E96" s="4"/>
      <c r="F96" s="4"/>
      <c r="G96" s="4"/>
      <c r="H96" s="4"/>
      <c r="I96" s="4"/>
      <c r="J96" s="4"/>
      <c r="K96" s="4"/>
      <c r="L96" s="4"/>
      <c r="M96" s="57"/>
      <c r="N96" s="66"/>
    </row>
    <row r="97" spans="3:14" s="1" customFormat="1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57"/>
      <c r="N97" s="66"/>
    </row>
    <row r="98" spans="3:14" s="1" customFormat="1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57"/>
      <c r="N98" s="66"/>
    </row>
    <row r="99" spans="3:14" s="1" customFormat="1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57"/>
      <c r="N99" s="66"/>
    </row>
    <row r="100" spans="3:14" s="1" customFormat="1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7"/>
      <c r="N100" s="66"/>
    </row>
    <row r="101" spans="3:14" s="1" customFormat="1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57"/>
      <c r="N101" s="66"/>
    </row>
    <row r="102" spans="3:14" s="1" customFormat="1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57"/>
      <c r="N102" s="66"/>
    </row>
    <row r="103" spans="3:14" s="1" customFormat="1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57"/>
      <c r="N103" s="66"/>
    </row>
    <row r="104" spans="3:14" s="1" customFormat="1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57"/>
      <c r="N104" s="66"/>
    </row>
    <row r="105" spans="3:14" s="1" customFormat="1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57"/>
      <c r="N105" s="66"/>
    </row>
    <row r="106" spans="3:14" s="1" customFormat="1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57"/>
      <c r="N106" s="66"/>
    </row>
    <row r="107" spans="3:14" s="1" customFormat="1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57"/>
      <c r="N107" s="66"/>
    </row>
    <row r="108" spans="3:14" s="1" customFormat="1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57"/>
      <c r="N108" s="66"/>
    </row>
    <row r="109" spans="3:14" s="1" customFormat="1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57"/>
      <c r="N109" s="66"/>
    </row>
    <row r="110" spans="3:14" s="1" customFormat="1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57"/>
      <c r="N110" s="66"/>
    </row>
    <row r="111" spans="3:14" s="1" customFormat="1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57"/>
      <c r="N111" s="66"/>
    </row>
    <row r="112" spans="3:14" s="1" customFormat="1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57"/>
      <c r="N112" s="66"/>
    </row>
    <row r="113" spans="3:14" s="1" customFormat="1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57"/>
      <c r="N113" s="66"/>
    </row>
    <row r="114" spans="3:14" s="1" customFormat="1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57"/>
      <c r="N114" s="66"/>
    </row>
    <row r="115" spans="3:14" s="1" customFormat="1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57"/>
      <c r="N115" s="66"/>
    </row>
    <row r="116" spans="3:14" s="1" customFormat="1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57"/>
      <c r="N116" s="66"/>
    </row>
    <row r="117" spans="3:14" s="1" customFormat="1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57"/>
      <c r="N117" s="66"/>
    </row>
    <row r="118" spans="3:14" s="1" customFormat="1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57"/>
      <c r="N118" s="66"/>
    </row>
    <row r="119" spans="3:14" s="1" customFormat="1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57"/>
      <c r="N119" s="66"/>
    </row>
    <row r="120" spans="3:14" s="1" customFormat="1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57"/>
      <c r="N120" s="66"/>
    </row>
    <row r="121" spans="3:14" s="1" customFormat="1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57"/>
      <c r="N121" s="66"/>
    </row>
    <row r="122" spans="3:14" s="1" customFormat="1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57"/>
      <c r="N122" s="66"/>
    </row>
    <row r="123" spans="3:14" s="1" customFormat="1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57"/>
      <c r="N123" s="66"/>
    </row>
    <row r="124" spans="3:14" s="1" customFormat="1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57"/>
      <c r="N124" s="66"/>
    </row>
    <row r="125" spans="3:14" s="1" customFormat="1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57"/>
      <c r="N125" s="66"/>
    </row>
    <row r="126" spans="3:14" s="1" customFormat="1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57"/>
      <c r="N126" s="66"/>
    </row>
    <row r="127" spans="3:14" s="1" customFormat="1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57"/>
      <c r="N127" s="66"/>
    </row>
    <row r="128" spans="3:14" s="1" customFormat="1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57"/>
      <c r="N128" s="66"/>
    </row>
    <row r="129" spans="3:14" s="1" customFormat="1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57"/>
      <c r="N129" s="66"/>
    </row>
    <row r="130" spans="3:14" s="1" customFormat="1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57"/>
      <c r="N130" s="66"/>
    </row>
    <row r="131" spans="3:14" s="1" customFormat="1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57"/>
      <c r="N131" s="66"/>
    </row>
    <row r="132" spans="3:14" s="1" customFormat="1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57"/>
      <c r="N132" s="66"/>
    </row>
    <row r="133" spans="3:14" s="1" customFormat="1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57"/>
      <c r="N133" s="66"/>
    </row>
    <row r="134" spans="3:14" s="1" customFormat="1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57"/>
      <c r="N134" s="66"/>
    </row>
    <row r="135" spans="3:14" s="1" customFormat="1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57"/>
      <c r="N135" s="66"/>
    </row>
  </sheetData>
  <sheetProtection/>
  <mergeCells count="14">
    <mergeCell ref="F30:G30"/>
    <mergeCell ref="H30:I30"/>
    <mergeCell ref="H28:I28"/>
    <mergeCell ref="J28:K28"/>
    <mergeCell ref="F28:G28"/>
    <mergeCell ref="J30:K30"/>
    <mergeCell ref="F29:G29"/>
    <mergeCell ref="H29:I29"/>
    <mergeCell ref="J29:K29"/>
    <mergeCell ref="A1:M1"/>
    <mergeCell ref="F27:G27"/>
    <mergeCell ref="H27:I27"/>
    <mergeCell ref="J27:K27"/>
    <mergeCell ref="C4:D4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GE65285"/>
  <sheetViews>
    <sheetView zoomScale="80" zoomScaleNormal="80" zoomScalePageLayoutView="0" workbookViewId="0" topLeftCell="A4">
      <selection activeCell="B18" sqref="B18:E18"/>
    </sheetView>
  </sheetViews>
  <sheetFormatPr defaultColWidth="9.140625" defaultRowHeight="12.75"/>
  <cols>
    <col min="1" max="1" width="7.00390625" style="0" customWidth="1"/>
    <col min="2" max="2" width="21.57421875" style="0" customWidth="1"/>
    <col min="3" max="5" width="17.7109375" style="3" customWidth="1"/>
    <col min="6" max="11" width="4.7109375" style="3" customWidth="1"/>
    <col min="12" max="12" width="8.7109375" style="3" customWidth="1"/>
    <col min="13" max="13" width="5.28125" style="327" customWidth="1"/>
    <col min="14" max="14" width="9.140625" style="61" customWidth="1"/>
  </cols>
  <sheetData>
    <row r="1" spans="1:13" ht="16.5" customHeight="1">
      <c r="A1" s="505" t="s">
        <v>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</row>
    <row r="2" spans="1:13" ht="22.5" customHeight="1">
      <c r="A2" s="23"/>
      <c r="B2" s="24"/>
      <c r="C2" s="30"/>
      <c r="D2" s="31" t="s">
        <v>101</v>
      </c>
      <c r="E2" s="30"/>
      <c r="F2" s="24"/>
      <c r="G2" s="24"/>
      <c r="H2" s="24"/>
      <c r="I2" s="24"/>
      <c r="J2" s="24"/>
      <c r="K2" s="24"/>
      <c r="L2" s="24"/>
      <c r="M2" s="65"/>
    </row>
    <row r="3" spans="1:13" ht="26.25" customHeight="1">
      <c r="A3" s="23"/>
      <c r="B3" s="24"/>
      <c r="C3" s="431" t="s">
        <v>459</v>
      </c>
      <c r="D3" s="355"/>
      <c r="E3" s="356"/>
      <c r="F3" s="29"/>
      <c r="G3" s="24"/>
      <c r="H3" s="24"/>
      <c r="I3" s="24"/>
      <c r="J3" s="24"/>
      <c r="K3" s="24"/>
      <c r="L3" s="24"/>
      <c r="M3" s="65"/>
    </row>
    <row r="4" spans="1:8" ht="16.5" customHeight="1">
      <c r="A4" s="10" t="s">
        <v>27</v>
      </c>
      <c r="B4" s="11" t="s">
        <v>323</v>
      </c>
      <c r="C4" s="11"/>
      <c r="D4" s="11"/>
      <c r="E4" s="11"/>
      <c r="F4" s="11"/>
      <c r="G4" s="11"/>
      <c r="H4" s="11"/>
    </row>
    <row r="5" spans="1:5" ht="15.75">
      <c r="A5" s="19" t="s">
        <v>1</v>
      </c>
      <c r="B5" s="20"/>
      <c r="C5" s="506" t="s">
        <v>458</v>
      </c>
      <c r="D5" s="506"/>
      <c r="E5" s="21"/>
    </row>
    <row r="6" spans="1:5" ht="15.75">
      <c r="A6" s="19" t="s">
        <v>2</v>
      </c>
      <c r="B6" s="20"/>
      <c r="C6" s="22" t="s">
        <v>4</v>
      </c>
      <c r="D6" s="21"/>
      <c r="E6" s="21"/>
    </row>
    <row r="7" spans="1:5" ht="15.75">
      <c r="A7" s="19" t="s">
        <v>3</v>
      </c>
      <c r="B7" s="20"/>
      <c r="C7" s="22" t="s">
        <v>45</v>
      </c>
      <c r="D7" s="21"/>
      <c r="E7" s="21"/>
    </row>
    <row r="8" spans="3:14" s="1" customFormat="1" ht="12.75">
      <c r="C8" s="4"/>
      <c r="D8" s="4"/>
      <c r="E8" s="4"/>
      <c r="F8" s="4"/>
      <c r="G8" s="4"/>
      <c r="H8" s="4"/>
      <c r="I8" s="4"/>
      <c r="J8" s="4"/>
      <c r="K8" s="4"/>
      <c r="L8" s="4"/>
      <c r="M8" s="328"/>
      <c r="N8" s="62"/>
    </row>
    <row r="9" spans="1:14" s="1" customFormat="1" ht="12.75" customHeight="1">
      <c r="A9" s="6" t="s">
        <v>19</v>
      </c>
      <c r="B9" s="7"/>
      <c r="C9" s="8"/>
      <c r="D9" s="8"/>
      <c r="E9" s="8"/>
      <c r="F9" s="7"/>
      <c r="G9" s="7"/>
      <c r="H9" s="7"/>
      <c r="I9" s="7"/>
      <c r="J9" s="7"/>
      <c r="K9" s="7"/>
      <c r="L9" s="7"/>
      <c r="M9" s="329"/>
      <c r="N9" s="62"/>
    </row>
    <row r="10" spans="1:14" s="1" customFormat="1" ht="25.5" customHeight="1">
      <c r="A10" s="2" t="s">
        <v>8</v>
      </c>
      <c r="B10" s="18" t="s">
        <v>9</v>
      </c>
      <c r="C10" s="18" t="s">
        <v>5</v>
      </c>
      <c r="D10" s="18" t="s">
        <v>6</v>
      </c>
      <c r="E10" s="18" t="s">
        <v>7</v>
      </c>
      <c r="F10" s="2" t="s">
        <v>38</v>
      </c>
      <c r="G10" s="2" t="s">
        <v>39</v>
      </c>
      <c r="H10" s="2" t="s">
        <v>40</v>
      </c>
      <c r="I10" s="2" t="s">
        <v>41</v>
      </c>
      <c r="J10" s="2" t="s">
        <v>42</v>
      </c>
      <c r="K10" s="2" t="s">
        <v>43</v>
      </c>
      <c r="L10" s="17" t="s">
        <v>10</v>
      </c>
      <c r="M10" s="330" t="s">
        <v>44</v>
      </c>
      <c r="N10" s="62"/>
    </row>
    <row r="11" spans="1:14" s="7" customFormat="1" ht="12.75">
      <c r="A11" s="41" t="s">
        <v>22</v>
      </c>
      <c r="B11" s="137" t="s">
        <v>156</v>
      </c>
      <c r="C11" s="56">
        <v>1990</v>
      </c>
      <c r="D11" s="160" t="s">
        <v>417</v>
      </c>
      <c r="E11" s="8" t="s">
        <v>97</v>
      </c>
      <c r="F11" s="12">
        <f>15+17+18+19+18</f>
        <v>87</v>
      </c>
      <c r="G11" s="12">
        <f>14+18+17+16+16</f>
        <v>81</v>
      </c>
      <c r="H11" s="12">
        <f>14+17+19+18+17</f>
        <v>85</v>
      </c>
      <c r="I11" s="12">
        <f>16+14+15+18+18</f>
        <v>81</v>
      </c>
      <c r="J11" s="12"/>
      <c r="K11" s="12"/>
      <c r="L11" s="38">
        <f>SUM(F11:K11)</f>
        <v>334</v>
      </c>
      <c r="M11" s="330"/>
      <c r="N11" s="62"/>
    </row>
    <row r="12" spans="1:14" s="1" customFormat="1" ht="12.75">
      <c r="A12" s="41" t="s">
        <v>23</v>
      </c>
      <c r="B12" s="365" t="s">
        <v>259</v>
      </c>
      <c r="C12" s="109">
        <v>1994</v>
      </c>
      <c r="D12" s="109">
        <v>31673</v>
      </c>
      <c r="E12" s="109" t="s">
        <v>352</v>
      </c>
      <c r="F12" s="12">
        <f>15+20+16+16+17</f>
        <v>84</v>
      </c>
      <c r="G12" s="12">
        <f>16+16+15+16+16</f>
        <v>79</v>
      </c>
      <c r="H12" s="12">
        <f>19+15+16+15+17</f>
        <v>82</v>
      </c>
      <c r="I12" s="12">
        <f>14+16+16+12+18</f>
        <v>76</v>
      </c>
      <c r="J12" s="12"/>
      <c r="K12" s="12"/>
      <c r="L12" s="38">
        <f>SUM(F12:K12)</f>
        <v>321</v>
      </c>
      <c r="M12" s="330" t="s">
        <v>265</v>
      </c>
      <c r="N12" s="62"/>
    </row>
    <row r="13" spans="1:14" s="1" customFormat="1" ht="24.75" customHeight="1">
      <c r="A13" s="6" t="s">
        <v>20</v>
      </c>
      <c r="B13" s="7"/>
      <c r="C13" s="8"/>
      <c r="D13" s="8"/>
      <c r="E13" s="8"/>
      <c r="F13" s="7"/>
      <c r="G13" s="7"/>
      <c r="H13" s="7"/>
      <c r="I13" s="7"/>
      <c r="J13" s="7"/>
      <c r="K13" s="7"/>
      <c r="L13" s="7"/>
      <c r="M13" s="329"/>
      <c r="N13" s="62"/>
    </row>
    <row r="14" spans="1:15" s="1" customFormat="1" ht="25.5" customHeight="1">
      <c r="A14" s="2" t="s">
        <v>8</v>
      </c>
      <c r="B14" s="18" t="s">
        <v>9</v>
      </c>
      <c r="C14" s="18" t="s">
        <v>5</v>
      </c>
      <c r="D14" s="18" t="s">
        <v>6</v>
      </c>
      <c r="E14" s="18" t="s">
        <v>7</v>
      </c>
      <c r="F14" s="2" t="s">
        <v>38</v>
      </c>
      <c r="G14" s="2" t="s">
        <v>39</v>
      </c>
      <c r="H14" s="2" t="s">
        <v>40</v>
      </c>
      <c r="I14" s="2" t="s">
        <v>41</v>
      </c>
      <c r="J14" s="2" t="s">
        <v>42</v>
      </c>
      <c r="K14" s="2" t="s">
        <v>43</v>
      </c>
      <c r="L14" s="17" t="s">
        <v>10</v>
      </c>
      <c r="M14" s="330" t="s">
        <v>44</v>
      </c>
      <c r="N14" s="67" t="s">
        <v>100</v>
      </c>
      <c r="O14" s="27"/>
    </row>
    <row r="15" spans="1:14" s="7" customFormat="1" ht="12.75">
      <c r="A15" s="41" t="s">
        <v>22</v>
      </c>
      <c r="B15" s="137" t="s">
        <v>284</v>
      </c>
      <c r="C15" s="109">
        <v>1957</v>
      </c>
      <c r="D15" s="4">
        <v>32651</v>
      </c>
      <c r="E15" s="109" t="s">
        <v>349</v>
      </c>
      <c r="F15" s="4">
        <v>97</v>
      </c>
      <c r="G15" s="4">
        <f>18+20+18+18+18</f>
        <v>92</v>
      </c>
      <c r="H15" s="4">
        <f>18+20+18+20+19</f>
        <v>95</v>
      </c>
      <c r="I15" s="4">
        <f>18+19+18+18+20</f>
        <v>93</v>
      </c>
      <c r="J15" s="4">
        <f>20+18+17+19+18</f>
        <v>92</v>
      </c>
      <c r="K15" s="4">
        <f>19+17+20+20+17</f>
        <v>93</v>
      </c>
      <c r="L15" s="38">
        <f>SUM(F15:K15)</f>
        <v>562</v>
      </c>
      <c r="M15" s="328" t="s">
        <v>358</v>
      </c>
      <c r="N15" s="68">
        <f aca="true" t="shared" si="0" ref="N15:N29">SUM(F15:I15)</f>
        <v>377</v>
      </c>
    </row>
    <row r="16" spans="1:14" s="1" customFormat="1" ht="12.75">
      <c r="A16" s="41" t="s">
        <v>23</v>
      </c>
      <c r="B16" s="366" t="s">
        <v>344</v>
      </c>
      <c r="C16" s="369">
        <v>1975</v>
      </c>
      <c r="D16" s="4">
        <v>23672</v>
      </c>
      <c r="E16" s="109" t="s">
        <v>349</v>
      </c>
      <c r="F16" s="4">
        <f>20+19+18+18+17</f>
        <v>92</v>
      </c>
      <c r="G16" s="4">
        <f>18+19+19+19+18</f>
        <v>93</v>
      </c>
      <c r="H16" s="4">
        <f>19+18+18+20+19</f>
        <v>94</v>
      </c>
      <c r="I16" s="4">
        <f>20+20+17+18+19</f>
        <v>94</v>
      </c>
      <c r="J16" s="4">
        <f>18+19+20+20+19</f>
        <v>96</v>
      </c>
      <c r="K16" s="4">
        <f>19+19+18+20+16</f>
        <v>92</v>
      </c>
      <c r="L16" s="38">
        <f aca="true" t="shared" si="1" ref="L16:L29">SUM(F16:K16)</f>
        <v>561</v>
      </c>
      <c r="M16" s="328" t="s">
        <v>266</v>
      </c>
      <c r="N16" s="68">
        <f t="shared" si="0"/>
        <v>373</v>
      </c>
    </row>
    <row r="17" spans="1:14" s="1" customFormat="1" ht="12.75">
      <c r="A17" s="41" t="s">
        <v>24</v>
      </c>
      <c r="B17" s="159" t="s">
        <v>49</v>
      </c>
      <c r="C17" s="56">
        <v>1954</v>
      </c>
      <c r="D17" s="4">
        <v>17785</v>
      </c>
      <c r="E17" s="4" t="s">
        <v>97</v>
      </c>
      <c r="F17" s="4">
        <f>18+18+18+18+19</f>
        <v>91</v>
      </c>
      <c r="G17" s="4">
        <f>20+19+19+15+18</f>
        <v>91</v>
      </c>
      <c r="H17" s="4">
        <f>19+17+17+20+20</f>
        <v>93</v>
      </c>
      <c r="I17" s="4">
        <f>20+19+19+19+18</f>
        <v>95</v>
      </c>
      <c r="J17" s="4">
        <f>18+18+19+19+18</f>
        <v>92</v>
      </c>
      <c r="K17" s="4">
        <f>19+20+19+20+18</f>
        <v>96</v>
      </c>
      <c r="L17" s="38">
        <f t="shared" si="1"/>
        <v>558</v>
      </c>
      <c r="M17" s="328" t="s">
        <v>358</v>
      </c>
      <c r="N17" s="68">
        <f t="shared" si="0"/>
        <v>370</v>
      </c>
    </row>
    <row r="18" spans="1:14" s="1" customFormat="1" ht="12.75">
      <c r="A18" s="41" t="s">
        <v>25</v>
      </c>
      <c r="B18" s="137" t="s">
        <v>360</v>
      </c>
      <c r="C18" s="109">
        <v>1970</v>
      </c>
      <c r="D18" s="4">
        <v>29592</v>
      </c>
      <c r="E18" s="109" t="s">
        <v>349</v>
      </c>
      <c r="F18" s="4">
        <f>20+17+18+20+19</f>
        <v>94</v>
      </c>
      <c r="G18" s="4">
        <f>18+19+16+19+17</f>
        <v>89</v>
      </c>
      <c r="H18" s="4">
        <f>19+19+18+20+20</f>
        <v>96</v>
      </c>
      <c r="I18" s="4">
        <f>17+19+18+18+18</f>
        <v>90</v>
      </c>
      <c r="J18" s="4">
        <f>19+18+20+20+19</f>
        <v>96</v>
      </c>
      <c r="K18" s="4">
        <f>17+16+19+19+18</f>
        <v>89</v>
      </c>
      <c r="L18" s="38">
        <f t="shared" si="1"/>
        <v>554</v>
      </c>
      <c r="M18" s="328" t="s">
        <v>266</v>
      </c>
      <c r="N18" s="68">
        <f t="shared" si="0"/>
        <v>369</v>
      </c>
    </row>
    <row r="19" spans="1:14" s="1" customFormat="1" ht="12.75">
      <c r="A19" s="41" t="s">
        <v>26</v>
      </c>
      <c r="B19" s="137" t="s">
        <v>129</v>
      </c>
      <c r="C19" s="55">
        <v>1935</v>
      </c>
      <c r="D19" s="4">
        <v>1794</v>
      </c>
      <c r="E19" s="4" t="s">
        <v>348</v>
      </c>
      <c r="F19" s="4">
        <f>17+19+18+17+19</f>
        <v>90</v>
      </c>
      <c r="G19" s="4">
        <f>18+17+19+18+19</f>
        <v>91</v>
      </c>
      <c r="H19" s="4">
        <f>17+18+18+18+18</f>
        <v>89</v>
      </c>
      <c r="I19" s="4">
        <f>19+14+17+20+19</f>
        <v>89</v>
      </c>
      <c r="J19" s="4">
        <f>19+19+19+19+17</f>
        <v>93</v>
      </c>
      <c r="K19" s="4">
        <f>18+19+20+20+18</f>
        <v>95</v>
      </c>
      <c r="L19" s="38">
        <f t="shared" si="1"/>
        <v>547</v>
      </c>
      <c r="M19" s="328" t="s">
        <v>358</v>
      </c>
      <c r="N19" s="68">
        <f t="shared" si="0"/>
        <v>359</v>
      </c>
    </row>
    <row r="20" spans="1:14" s="1" customFormat="1" ht="12.75">
      <c r="A20" s="41" t="s">
        <v>27</v>
      </c>
      <c r="B20" s="367" t="s">
        <v>297</v>
      </c>
      <c r="C20" s="109">
        <v>1969</v>
      </c>
      <c r="D20" s="4" t="s">
        <v>350</v>
      </c>
      <c r="E20" s="4" t="s">
        <v>351</v>
      </c>
      <c r="F20" s="4">
        <f>17+19+19+18+19</f>
        <v>92</v>
      </c>
      <c r="G20" s="4">
        <f>17+19+19+17+20</f>
        <v>92</v>
      </c>
      <c r="H20" s="4">
        <f>19+19+17+18+19</f>
        <v>92</v>
      </c>
      <c r="I20" s="4">
        <f>17+17+17+19+19</f>
        <v>89</v>
      </c>
      <c r="J20" s="4">
        <f>17+19+18+18+17</f>
        <v>89</v>
      </c>
      <c r="K20" s="4">
        <f>19+17+17+20+18</f>
        <v>91</v>
      </c>
      <c r="L20" s="38">
        <f t="shared" si="1"/>
        <v>545</v>
      </c>
      <c r="M20" s="328" t="s">
        <v>266</v>
      </c>
      <c r="N20" s="68">
        <f t="shared" si="0"/>
        <v>365</v>
      </c>
    </row>
    <row r="21" spans="1:14" s="1" customFormat="1" ht="12.75">
      <c r="A21" s="41" t="s">
        <v>28</v>
      </c>
      <c r="B21" s="365" t="s">
        <v>108</v>
      </c>
      <c r="C21" s="14">
        <v>1965</v>
      </c>
      <c r="D21" s="70" t="s">
        <v>389</v>
      </c>
      <c r="E21" s="3" t="s">
        <v>283</v>
      </c>
      <c r="F21" s="4">
        <f>20+19+17+19+18</f>
        <v>93</v>
      </c>
      <c r="G21" s="4">
        <f>18+17+19+20+15</f>
        <v>89</v>
      </c>
      <c r="H21" s="4">
        <f>18+18+18+19+16</f>
        <v>89</v>
      </c>
      <c r="I21" s="4">
        <f>19+17+16+20+19</f>
        <v>91</v>
      </c>
      <c r="J21" s="4">
        <f>19+20+18+18+18</f>
        <v>93</v>
      </c>
      <c r="K21" s="4">
        <f>17+16+19+19+19</f>
        <v>90</v>
      </c>
      <c r="L21" s="38">
        <f t="shared" si="1"/>
        <v>545</v>
      </c>
      <c r="M21" s="328" t="s">
        <v>266</v>
      </c>
      <c r="N21" s="68">
        <f t="shared" si="0"/>
        <v>362</v>
      </c>
    </row>
    <row r="22" spans="1:14" s="1" customFormat="1" ht="12.75">
      <c r="A22" s="41" t="s">
        <v>29</v>
      </c>
      <c r="B22" s="137" t="s">
        <v>134</v>
      </c>
      <c r="C22" s="55">
        <v>1955</v>
      </c>
      <c r="D22" s="12">
        <v>17071</v>
      </c>
      <c r="E22" s="12" t="s">
        <v>355</v>
      </c>
      <c r="F22" s="4">
        <f>17+19+19+20+17</f>
        <v>92</v>
      </c>
      <c r="G22" s="4">
        <f>19+19+19+19+18</f>
        <v>94</v>
      </c>
      <c r="H22" s="4">
        <f>18+18+18+18+18</f>
        <v>90</v>
      </c>
      <c r="I22" s="4">
        <f>18+19+18+19+14</f>
        <v>88</v>
      </c>
      <c r="J22" s="4">
        <f>18+19+19+15+19</f>
        <v>90</v>
      </c>
      <c r="K22" s="4">
        <f>19+16+19+17+19</f>
        <v>90</v>
      </c>
      <c r="L22" s="38">
        <f t="shared" si="1"/>
        <v>544</v>
      </c>
      <c r="M22" s="328" t="s">
        <v>265</v>
      </c>
      <c r="N22" s="68">
        <f t="shared" si="0"/>
        <v>364</v>
      </c>
    </row>
    <row r="23" spans="1:14" s="1" customFormat="1" ht="12.75">
      <c r="A23" s="41" t="s">
        <v>30</v>
      </c>
      <c r="B23" s="137" t="s">
        <v>48</v>
      </c>
      <c r="C23" s="55">
        <v>1976</v>
      </c>
      <c r="D23" s="203">
        <v>32462</v>
      </c>
      <c r="E23" s="12" t="s">
        <v>97</v>
      </c>
      <c r="F23" s="4">
        <f>18+16+18+19+19</f>
        <v>90</v>
      </c>
      <c r="G23" s="4">
        <v>93</v>
      </c>
      <c r="H23" s="4">
        <f>19+18+18+18+17</f>
        <v>90</v>
      </c>
      <c r="I23" s="4">
        <f>18+18+19+20+16</f>
        <v>91</v>
      </c>
      <c r="J23" s="4">
        <f>17+14+18+19+19</f>
        <v>87</v>
      </c>
      <c r="K23" s="4">
        <f>19+19+16+18+20</f>
        <v>92</v>
      </c>
      <c r="L23" s="38">
        <f t="shared" si="1"/>
        <v>543</v>
      </c>
      <c r="M23" s="328" t="s">
        <v>265</v>
      </c>
      <c r="N23" s="68">
        <f t="shared" si="0"/>
        <v>364</v>
      </c>
    </row>
    <row r="24" spans="1:14" s="1" customFormat="1" ht="12.75">
      <c r="A24" s="41" t="s">
        <v>31</v>
      </c>
      <c r="B24" s="365" t="s">
        <v>281</v>
      </c>
      <c r="C24" s="14">
        <v>1964</v>
      </c>
      <c r="D24" s="3">
        <v>38055</v>
      </c>
      <c r="E24" s="3" t="s">
        <v>283</v>
      </c>
      <c r="F24" s="4">
        <f>18+18+18+20+18</f>
        <v>92</v>
      </c>
      <c r="G24" s="4">
        <f>20+20+19+16+19</f>
        <v>94</v>
      </c>
      <c r="H24" s="4">
        <f>18+18+19+18+18</f>
        <v>91</v>
      </c>
      <c r="I24" s="4">
        <f>17+16+19+15+19</f>
        <v>86</v>
      </c>
      <c r="J24" s="4">
        <f>16+20+20+18+18</f>
        <v>92</v>
      </c>
      <c r="K24" s="4">
        <f>17+16+19+19+17</f>
        <v>88</v>
      </c>
      <c r="L24" s="38">
        <f t="shared" si="1"/>
        <v>543</v>
      </c>
      <c r="M24" s="328" t="s">
        <v>265</v>
      </c>
      <c r="N24" s="68">
        <f t="shared" si="0"/>
        <v>363</v>
      </c>
    </row>
    <row r="25" spans="1:14" s="1" customFormat="1" ht="12.75">
      <c r="A25" s="41" t="s">
        <v>32</v>
      </c>
      <c r="B25" s="137" t="s">
        <v>51</v>
      </c>
      <c r="C25" s="109">
        <v>1940</v>
      </c>
      <c r="D25" s="4">
        <v>6943</v>
      </c>
      <c r="E25" s="203" t="s">
        <v>97</v>
      </c>
      <c r="F25" s="4">
        <f>20+19+19+19+19</f>
        <v>96</v>
      </c>
      <c r="G25" s="4">
        <f>19+17+18+19+19</f>
        <v>92</v>
      </c>
      <c r="H25" s="4">
        <f>18+17+18+15+18</f>
        <v>86</v>
      </c>
      <c r="I25" s="4">
        <f>19+18+17+18+18</f>
        <v>90</v>
      </c>
      <c r="J25" s="4">
        <f>14+18+18+16+19</f>
        <v>85</v>
      </c>
      <c r="K25" s="4">
        <f>17+19+15+19+16</f>
        <v>86</v>
      </c>
      <c r="L25" s="38">
        <f t="shared" si="1"/>
        <v>535</v>
      </c>
      <c r="M25" s="328" t="s">
        <v>266</v>
      </c>
      <c r="N25" s="68">
        <f t="shared" si="0"/>
        <v>364</v>
      </c>
    </row>
    <row r="26" spans="1:14" s="1" customFormat="1" ht="12.75">
      <c r="A26" s="41" t="s">
        <v>33</v>
      </c>
      <c r="B26" s="367" t="s">
        <v>263</v>
      </c>
      <c r="C26" s="109">
        <v>1991</v>
      </c>
      <c r="D26" s="4">
        <v>37632</v>
      </c>
      <c r="E26" s="4" t="s">
        <v>460</v>
      </c>
      <c r="F26" s="4">
        <f>17+17+19+18+17</f>
        <v>88</v>
      </c>
      <c r="G26" s="4">
        <f>17+18+17+18+18</f>
        <v>88</v>
      </c>
      <c r="H26" s="4">
        <f>17+17+16+19+19</f>
        <v>88</v>
      </c>
      <c r="I26" s="4">
        <f>17+19+19+18+20</f>
        <v>93</v>
      </c>
      <c r="J26" s="4">
        <f>18+18+18+15+15</f>
        <v>84</v>
      </c>
      <c r="K26" s="4">
        <f>16+12+14+13+17</f>
        <v>72</v>
      </c>
      <c r="L26" s="38">
        <f t="shared" si="1"/>
        <v>513</v>
      </c>
      <c r="M26" s="328"/>
      <c r="N26" s="68">
        <f t="shared" si="0"/>
        <v>357</v>
      </c>
    </row>
    <row r="27" spans="1:14" s="1" customFormat="1" ht="12.75">
      <c r="A27" s="41" t="s">
        <v>34</v>
      </c>
      <c r="B27" s="365" t="s">
        <v>50</v>
      </c>
      <c r="C27" s="109">
        <v>1977</v>
      </c>
      <c r="D27" s="109">
        <v>31241</v>
      </c>
      <c r="E27" s="107" t="s">
        <v>97</v>
      </c>
      <c r="F27" s="4">
        <f>18+18+15+17+18</f>
        <v>86</v>
      </c>
      <c r="G27" s="4">
        <f>17+10+18+20+16</f>
        <v>81</v>
      </c>
      <c r="H27" s="4">
        <f>17+19+18+18+17</f>
        <v>89</v>
      </c>
      <c r="I27" s="4">
        <f>18+16+18+20+16</f>
        <v>88</v>
      </c>
      <c r="J27" s="4">
        <f>15+14+12+14+17</f>
        <v>72</v>
      </c>
      <c r="K27" s="4">
        <f>16+17+18+17+17</f>
        <v>85</v>
      </c>
      <c r="L27" s="38">
        <f t="shared" si="1"/>
        <v>501</v>
      </c>
      <c r="M27" s="328"/>
      <c r="N27" s="68">
        <f t="shared" si="0"/>
        <v>344</v>
      </c>
    </row>
    <row r="28" spans="1:14" s="1" customFormat="1" ht="12.75">
      <c r="A28" s="41" t="s">
        <v>35</v>
      </c>
      <c r="B28" s="1" t="s">
        <v>412</v>
      </c>
      <c r="C28" s="4">
        <v>1959</v>
      </c>
      <c r="D28" s="4" t="s">
        <v>414</v>
      </c>
      <c r="E28" s="4" t="s">
        <v>413</v>
      </c>
      <c r="F28" s="4">
        <f>11+18+17+15+16</f>
        <v>77</v>
      </c>
      <c r="G28" s="4">
        <f>19+16+18+16+14</f>
        <v>83</v>
      </c>
      <c r="H28" s="4">
        <f>15+16+19+16+17</f>
        <v>83</v>
      </c>
      <c r="I28" s="4">
        <f>14+18+19+15+17</f>
        <v>83</v>
      </c>
      <c r="J28" s="4">
        <f>16+18+15+18+15</f>
        <v>82</v>
      </c>
      <c r="K28" s="4">
        <f>18+14+16+15+13</f>
        <v>76</v>
      </c>
      <c r="L28" s="38">
        <f t="shared" si="1"/>
        <v>484</v>
      </c>
      <c r="M28" s="328"/>
      <c r="N28" s="68">
        <f t="shared" si="0"/>
        <v>326</v>
      </c>
    </row>
    <row r="29" spans="1:14" s="1" customFormat="1" ht="12.75">
      <c r="A29" s="41" t="s">
        <v>36</v>
      </c>
      <c r="B29" s="159" t="s">
        <v>148</v>
      </c>
      <c r="C29" s="56">
        <v>1978</v>
      </c>
      <c r="D29" s="4" t="s">
        <v>353</v>
      </c>
      <c r="E29" s="4" t="s">
        <v>354</v>
      </c>
      <c r="F29" s="4">
        <v>84</v>
      </c>
      <c r="G29" s="4">
        <v>91</v>
      </c>
      <c r="H29" s="4">
        <v>87</v>
      </c>
      <c r="I29" s="4">
        <f>17+11+18+8+12</f>
        <v>66</v>
      </c>
      <c r="J29" s="4">
        <f>16+11+11+17+16</f>
        <v>71</v>
      </c>
      <c r="K29" s="4">
        <f>18+17+13+15+19</f>
        <v>82</v>
      </c>
      <c r="L29" s="38">
        <f t="shared" si="1"/>
        <v>481</v>
      </c>
      <c r="M29" s="328"/>
      <c r="N29" s="68">
        <f t="shared" si="0"/>
        <v>328</v>
      </c>
    </row>
    <row r="30" spans="1:14" s="1" customFormat="1" ht="20.25" customHeight="1">
      <c r="A30" s="6" t="s">
        <v>21</v>
      </c>
      <c r="B30" s="7"/>
      <c r="C30" s="8"/>
      <c r="D30" s="8"/>
      <c r="E30" s="8"/>
      <c r="F30" s="7"/>
      <c r="G30" s="7"/>
      <c r="H30" s="7"/>
      <c r="I30" s="7"/>
      <c r="J30" s="7"/>
      <c r="K30" s="7"/>
      <c r="L30" s="7"/>
      <c r="M30" s="329"/>
      <c r="N30" s="62"/>
    </row>
    <row r="31" spans="1:14" s="1" customFormat="1" ht="25.5" customHeight="1">
      <c r="A31" s="2" t="s">
        <v>8</v>
      </c>
      <c r="B31" s="18" t="s">
        <v>17</v>
      </c>
      <c r="C31" s="18" t="s">
        <v>11</v>
      </c>
      <c r="D31" s="18" t="s">
        <v>12</v>
      </c>
      <c r="E31" s="18" t="s">
        <v>13</v>
      </c>
      <c r="F31" s="507" t="s">
        <v>14</v>
      </c>
      <c r="G31" s="507"/>
      <c r="H31" s="507" t="s">
        <v>15</v>
      </c>
      <c r="I31" s="507"/>
      <c r="J31" s="507" t="s">
        <v>16</v>
      </c>
      <c r="K31" s="507"/>
      <c r="L31" s="17" t="s">
        <v>10</v>
      </c>
      <c r="M31" s="330"/>
      <c r="N31" s="62"/>
    </row>
    <row r="32" spans="1:14" s="7" customFormat="1" ht="15">
      <c r="A32" s="41" t="s">
        <v>22</v>
      </c>
      <c r="B32" s="430" t="s">
        <v>364</v>
      </c>
      <c r="C32" s="8" t="s">
        <v>362</v>
      </c>
      <c r="D32" s="4" t="s">
        <v>361</v>
      </c>
      <c r="E32" s="12" t="s">
        <v>363</v>
      </c>
      <c r="F32" s="504">
        <v>377</v>
      </c>
      <c r="G32" s="504"/>
      <c r="H32" s="504">
        <v>369</v>
      </c>
      <c r="I32" s="504"/>
      <c r="J32" s="504">
        <v>373</v>
      </c>
      <c r="K32" s="504"/>
      <c r="L32" s="329">
        <f>SUM(F32:J32)</f>
        <v>1119</v>
      </c>
      <c r="M32" s="329"/>
      <c r="N32" s="63"/>
    </row>
    <row r="33" spans="1:14" s="7" customFormat="1" ht="15">
      <c r="A33" s="41" t="s">
        <v>23</v>
      </c>
      <c r="B33" s="145" t="s">
        <v>418</v>
      </c>
      <c r="C33" s="8" t="s">
        <v>367</v>
      </c>
      <c r="D33" s="4" t="s">
        <v>365</v>
      </c>
      <c r="E33" s="12" t="s">
        <v>366</v>
      </c>
      <c r="F33" s="504">
        <v>370</v>
      </c>
      <c r="G33" s="504"/>
      <c r="H33" s="504">
        <v>364</v>
      </c>
      <c r="I33" s="504"/>
      <c r="J33" s="504">
        <v>364</v>
      </c>
      <c r="K33" s="504"/>
      <c r="L33" s="329">
        <f>SUM(F33:J33)</f>
        <v>1098</v>
      </c>
      <c r="M33" s="329"/>
      <c r="N33" s="63"/>
    </row>
    <row r="34" spans="1:14" s="1" customFormat="1" ht="15">
      <c r="A34" s="41" t="s">
        <v>24</v>
      </c>
      <c r="B34" s="145" t="s">
        <v>354</v>
      </c>
      <c r="C34" s="4" t="s">
        <v>374</v>
      </c>
      <c r="D34" s="4" t="s">
        <v>375</v>
      </c>
      <c r="F34" s="504">
        <v>328</v>
      </c>
      <c r="G34" s="504"/>
      <c r="H34" s="504">
        <v>321</v>
      </c>
      <c r="I34" s="504"/>
      <c r="J34" s="504"/>
      <c r="K34" s="504"/>
      <c r="L34" s="38">
        <f>SUM(F34:J34)</f>
        <v>649</v>
      </c>
      <c r="M34" s="328"/>
      <c r="N34" s="62"/>
    </row>
    <row r="35" spans="3:14" s="1" customFormat="1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328"/>
      <c r="N35" s="62"/>
    </row>
    <row r="36" spans="3:14" s="1" customFormat="1" ht="12.75">
      <c r="C36" s="4"/>
      <c r="D36" s="4"/>
      <c r="E36" s="28" t="s">
        <v>94</v>
      </c>
      <c r="F36" s="4"/>
      <c r="G36" s="4"/>
      <c r="H36" s="4"/>
      <c r="I36" s="4"/>
      <c r="J36" s="4"/>
      <c r="K36" s="4"/>
      <c r="L36" s="4"/>
      <c r="M36" s="328"/>
      <c r="N36" s="62"/>
    </row>
    <row r="37" spans="3:14" s="1" customFormat="1" ht="12.75">
      <c r="C37" s="4"/>
      <c r="D37" s="4"/>
      <c r="E37" s="28" t="s">
        <v>95</v>
      </c>
      <c r="F37" s="4"/>
      <c r="G37" s="4"/>
      <c r="H37" s="4"/>
      <c r="I37" s="4"/>
      <c r="J37" s="4"/>
      <c r="K37" s="4"/>
      <c r="L37" s="4"/>
      <c r="M37" s="328"/>
      <c r="N37" s="62"/>
    </row>
    <row r="38" spans="3:14" s="1" customFormat="1" ht="12.75">
      <c r="C38" s="4"/>
      <c r="D38" s="4"/>
      <c r="E38" s="4"/>
      <c r="F38" s="4"/>
      <c r="G38" s="4"/>
      <c r="H38" s="4"/>
      <c r="I38" s="4"/>
      <c r="J38" s="4"/>
      <c r="K38" s="4"/>
      <c r="L38" s="4"/>
      <c r="M38" s="328"/>
      <c r="N38" s="62"/>
    </row>
    <row r="39" spans="3:14" s="1" customFormat="1" ht="12.75">
      <c r="C39" s="4"/>
      <c r="D39" s="4"/>
      <c r="E39" s="4"/>
      <c r="F39" s="4"/>
      <c r="G39" s="4"/>
      <c r="H39" s="4"/>
      <c r="I39" s="4"/>
      <c r="J39" s="4"/>
      <c r="K39" s="4"/>
      <c r="L39" s="4"/>
      <c r="M39" s="328"/>
      <c r="N39" s="62"/>
    </row>
    <row r="40" spans="3:14" s="1" customFormat="1" ht="12.75">
      <c r="C40" s="4"/>
      <c r="D40" s="4"/>
      <c r="E40" s="4"/>
      <c r="F40" s="4"/>
      <c r="G40" s="4"/>
      <c r="H40" s="4"/>
      <c r="I40" s="4"/>
      <c r="J40" s="4"/>
      <c r="K40" s="4"/>
      <c r="L40" s="4"/>
      <c r="M40" s="328"/>
      <c r="N40" s="62"/>
    </row>
    <row r="41" spans="3:14" s="1" customFormat="1" ht="12.75">
      <c r="C41" s="4"/>
      <c r="D41" s="4"/>
      <c r="E41" s="4"/>
      <c r="F41" s="4"/>
      <c r="G41" s="4"/>
      <c r="H41" s="4"/>
      <c r="I41" s="4"/>
      <c r="J41" s="4"/>
      <c r="K41" s="4"/>
      <c r="L41" s="4"/>
      <c r="M41" s="328"/>
      <c r="N41" s="62"/>
    </row>
    <row r="42" spans="3:14" s="1" customFormat="1" ht="12.75">
      <c r="C42" s="4"/>
      <c r="D42" s="4"/>
      <c r="E42" s="4"/>
      <c r="F42" s="4"/>
      <c r="G42" s="4"/>
      <c r="H42" s="4"/>
      <c r="I42" s="4"/>
      <c r="J42" s="4"/>
      <c r="K42" s="4"/>
      <c r="L42" s="4"/>
      <c r="M42" s="328"/>
      <c r="N42" s="62"/>
    </row>
    <row r="43" spans="2:14" s="1" customFormat="1" ht="12.75">
      <c r="B43" s="434"/>
      <c r="C43" s="4"/>
      <c r="D43" s="4"/>
      <c r="E43" s="4"/>
      <c r="F43" s="4"/>
      <c r="G43" s="4"/>
      <c r="H43" s="4"/>
      <c r="I43" s="4"/>
      <c r="J43" s="4"/>
      <c r="K43" s="4"/>
      <c r="L43" s="4"/>
      <c r="M43" s="328"/>
      <c r="N43" s="62"/>
    </row>
    <row r="44" spans="3:14" s="1" customFormat="1" ht="12.75">
      <c r="C44" s="4"/>
      <c r="D44" s="4"/>
      <c r="E44" s="4"/>
      <c r="F44" s="4"/>
      <c r="G44" s="4"/>
      <c r="H44" s="4"/>
      <c r="I44" s="4"/>
      <c r="J44" s="4"/>
      <c r="K44" s="4"/>
      <c r="L44" s="4"/>
      <c r="M44" s="328"/>
      <c r="N44" s="62"/>
    </row>
    <row r="45" spans="3:14" s="1" customFormat="1" ht="12.75">
      <c r="C45" s="4"/>
      <c r="D45" s="4"/>
      <c r="E45" s="4"/>
      <c r="F45" s="4"/>
      <c r="G45" s="4"/>
      <c r="H45" s="4"/>
      <c r="I45" s="4"/>
      <c r="J45" s="4"/>
      <c r="K45" s="4"/>
      <c r="L45" s="4"/>
      <c r="M45" s="328"/>
      <c r="N45" s="62"/>
    </row>
    <row r="46" spans="3:14" s="1" customFormat="1" ht="12.75">
      <c r="C46" s="4"/>
      <c r="D46" s="4"/>
      <c r="E46" s="4"/>
      <c r="F46" s="4"/>
      <c r="G46" s="4"/>
      <c r="H46" s="4"/>
      <c r="I46" s="4"/>
      <c r="J46" s="4"/>
      <c r="K46" s="4"/>
      <c r="L46" s="4"/>
      <c r="M46" s="328"/>
      <c r="N46" s="62"/>
    </row>
    <row r="47" spans="3:14" s="1" customFormat="1" ht="12.75">
      <c r="C47" s="4"/>
      <c r="D47" s="4"/>
      <c r="E47" s="4"/>
      <c r="F47" s="4"/>
      <c r="G47" s="4"/>
      <c r="H47" s="4"/>
      <c r="I47" s="4"/>
      <c r="J47" s="4"/>
      <c r="K47" s="4"/>
      <c r="L47" s="4"/>
      <c r="M47" s="328"/>
      <c r="N47" s="62"/>
    </row>
    <row r="48" spans="3:14" s="1" customFormat="1" ht="12.75">
      <c r="C48" s="4"/>
      <c r="D48" s="4"/>
      <c r="E48" s="4"/>
      <c r="F48" s="4"/>
      <c r="G48" s="4"/>
      <c r="H48" s="4"/>
      <c r="I48" s="4"/>
      <c r="J48" s="4"/>
      <c r="K48" s="4"/>
      <c r="L48" s="4"/>
      <c r="M48" s="328"/>
      <c r="N48" s="62"/>
    </row>
    <row r="49" spans="3:14" s="1" customFormat="1" ht="12.75">
      <c r="C49" s="4"/>
      <c r="D49" s="4"/>
      <c r="E49" s="4"/>
      <c r="F49" s="4"/>
      <c r="G49" s="4"/>
      <c r="H49" s="4"/>
      <c r="I49" s="4"/>
      <c r="J49" s="4"/>
      <c r="K49" s="4"/>
      <c r="L49" s="4"/>
      <c r="M49" s="328"/>
      <c r="N49" s="62"/>
    </row>
    <row r="50" spans="3:14" s="1" customFormat="1" ht="12.75">
      <c r="C50" s="4"/>
      <c r="D50" s="4"/>
      <c r="E50" s="4"/>
      <c r="F50" s="4"/>
      <c r="G50" s="4"/>
      <c r="H50" s="4"/>
      <c r="I50" s="4"/>
      <c r="J50" s="4"/>
      <c r="K50" s="4"/>
      <c r="L50" s="4"/>
      <c r="M50" s="328"/>
      <c r="N50" s="62"/>
    </row>
    <row r="51" spans="3:14" s="1" customFormat="1" ht="12.75">
      <c r="C51" s="4"/>
      <c r="D51" s="4"/>
      <c r="E51" s="4"/>
      <c r="F51" s="4"/>
      <c r="G51" s="4"/>
      <c r="H51" s="4"/>
      <c r="I51" s="4"/>
      <c r="J51" s="4"/>
      <c r="K51" s="4"/>
      <c r="L51" s="4"/>
      <c r="M51" s="328"/>
      <c r="N51" s="62"/>
    </row>
    <row r="52" spans="3:14" s="1" customFormat="1" ht="12.75">
      <c r="C52" s="4"/>
      <c r="D52" s="4"/>
      <c r="E52" s="4"/>
      <c r="F52" s="4"/>
      <c r="G52" s="4"/>
      <c r="H52" s="4"/>
      <c r="I52" s="4"/>
      <c r="J52" s="4"/>
      <c r="K52" s="4"/>
      <c r="L52" s="4"/>
      <c r="M52" s="328"/>
      <c r="N52" s="62"/>
    </row>
    <row r="53" spans="3:14" s="1" customFormat="1" ht="12.75">
      <c r="C53" s="4"/>
      <c r="D53" s="4"/>
      <c r="E53" s="4"/>
      <c r="F53" s="4"/>
      <c r="G53" s="4"/>
      <c r="H53" s="4"/>
      <c r="I53" s="4"/>
      <c r="J53" s="4"/>
      <c r="K53" s="4"/>
      <c r="L53" s="4"/>
      <c r="M53" s="328"/>
      <c r="N53" s="62"/>
    </row>
    <row r="54" spans="3:14" s="1" customFormat="1" ht="12.75">
      <c r="C54" s="4"/>
      <c r="D54" s="4"/>
      <c r="E54" s="4"/>
      <c r="F54" s="4"/>
      <c r="G54" s="4"/>
      <c r="H54" s="4"/>
      <c r="I54" s="4"/>
      <c r="J54" s="4"/>
      <c r="K54" s="4"/>
      <c r="L54" s="4"/>
      <c r="M54" s="328"/>
      <c r="N54" s="62"/>
    </row>
    <row r="55" spans="3:14" s="1" customFormat="1" ht="12.75">
      <c r="C55" s="4"/>
      <c r="D55" s="4"/>
      <c r="E55" s="4"/>
      <c r="F55" s="4"/>
      <c r="G55" s="4"/>
      <c r="H55" s="4"/>
      <c r="I55" s="4"/>
      <c r="J55" s="4"/>
      <c r="K55" s="4"/>
      <c r="L55" s="4"/>
      <c r="M55" s="328"/>
      <c r="N55" s="62"/>
    </row>
    <row r="56" spans="3:14" s="1" customFormat="1" ht="12.75">
      <c r="C56" s="4"/>
      <c r="D56" s="4"/>
      <c r="E56" s="4"/>
      <c r="F56" s="4"/>
      <c r="G56" s="4"/>
      <c r="H56" s="4"/>
      <c r="I56" s="4"/>
      <c r="J56" s="4"/>
      <c r="K56" s="4"/>
      <c r="L56" s="4"/>
      <c r="M56" s="328"/>
      <c r="N56" s="62"/>
    </row>
    <row r="57" spans="3:14" s="1" customFormat="1" ht="12.75">
      <c r="C57" s="4"/>
      <c r="D57" s="4"/>
      <c r="E57" s="4"/>
      <c r="F57" s="4"/>
      <c r="G57" s="4"/>
      <c r="H57" s="4"/>
      <c r="I57" s="4"/>
      <c r="J57" s="4"/>
      <c r="K57" s="4"/>
      <c r="L57" s="4"/>
      <c r="M57" s="328"/>
      <c r="N57" s="62"/>
    </row>
    <row r="58" spans="3:14" s="1" customFormat="1" ht="12.75">
      <c r="C58" s="4"/>
      <c r="D58" s="4"/>
      <c r="E58" s="4"/>
      <c r="F58" s="4"/>
      <c r="G58" s="4"/>
      <c r="H58" s="4"/>
      <c r="I58" s="4"/>
      <c r="J58" s="4"/>
      <c r="K58" s="4"/>
      <c r="L58" s="4"/>
      <c r="M58" s="328"/>
      <c r="N58" s="62"/>
    </row>
    <row r="59" spans="3:14" s="1" customFormat="1" ht="12.75">
      <c r="C59" s="4"/>
      <c r="D59" s="4"/>
      <c r="E59" s="4"/>
      <c r="F59" s="4"/>
      <c r="G59" s="4"/>
      <c r="H59" s="4"/>
      <c r="I59" s="4"/>
      <c r="J59" s="4"/>
      <c r="K59" s="4"/>
      <c r="L59" s="4"/>
      <c r="M59" s="328"/>
      <c r="N59" s="62"/>
    </row>
    <row r="60" spans="3:14" s="1" customFormat="1" ht="12.75">
      <c r="C60" s="4"/>
      <c r="D60" s="4"/>
      <c r="E60" s="4"/>
      <c r="F60" s="4"/>
      <c r="G60" s="4"/>
      <c r="H60" s="4"/>
      <c r="I60" s="4"/>
      <c r="J60" s="4"/>
      <c r="K60" s="4"/>
      <c r="L60" s="4"/>
      <c r="M60" s="328"/>
      <c r="N60" s="62"/>
    </row>
    <row r="61" spans="3:14" s="1" customFormat="1" ht="12.75">
      <c r="C61" s="4"/>
      <c r="D61" s="4"/>
      <c r="E61" s="4"/>
      <c r="F61" s="4"/>
      <c r="G61" s="4"/>
      <c r="H61" s="4"/>
      <c r="I61" s="4"/>
      <c r="J61" s="4"/>
      <c r="K61" s="4"/>
      <c r="L61" s="4"/>
      <c r="M61" s="328"/>
      <c r="N61" s="62"/>
    </row>
    <row r="62" spans="3:14" s="1" customFormat="1" ht="12.75">
      <c r="C62" s="4"/>
      <c r="D62" s="4"/>
      <c r="E62" s="4"/>
      <c r="F62" s="4"/>
      <c r="G62" s="4"/>
      <c r="H62" s="4"/>
      <c r="I62" s="4"/>
      <c r="J62" s="4"/>
      <c r="K62" s="4"/>
      <c r="L62" s="4"/>
      <c r="M62" s="328"/>
      <c r="N62" s="62"/>
    </row>
    <row r="63" spans="3:14" s="1" customFormat="1" ht="12.75">
      <c r="C63" s="4"/>
      <c r="D63" s="4"/>
      <c r="E63" s="4"/>
      <c r="F63" s="4"/>
      <c r="G63" s="4"/>
      <c r="H63" s="4"/>
      <c r="I63" s="4"/>
      <c r="J63" s="4"/>
      <c r="K63" s="4"/>
      <c r="L63" s="4"/>
      <c r="M63" s="328"/>
      <c r="N63" s="62"/>
    </row>
    <row r="64" spans="3:14" s="1" customFormat="1" ht="12.75">
      <c r="C64" s="4"/>
      <c r="D64" s="4"/>
      <c r="E64" s="4"/>
      <c r="F64" s="4"/>
      <c r="G64" s="4"/>
      <c r="H64" s="4"/>
      <c r="I64" s="4"/>
      <c r="J64" s="4"/>
      <c r="K64" s="4"/>
      <c r="L64" s="4"/>
      <c r="M64" s="328"/>
      <c r="N64" s="62"/>
    </row>
    <row r="65" spans="3:14" s="1" customFormat="1" ht="12.75">
      <c r="C65" s="4"/>
      <c r="D65" s="4"/>
      <c r="E65" s="4"/>
      <c r="F65" s="4"/>
      <c r="G65" s="4"/>
      <c r="H65" s="4"/>
      <c r="I65" s="4"/>
      <c r="J65" s="4"/>
      <c r="K65" s="4"/>
      <c r="L65" s="4"/>
      <c r="M65" s="328"/>
      <c r="N65" s="62"/>
    </row>
    <row r="66" spans="3:14" s="1" customFormat="1" ht="12.75">
      <c r="C66" s="4"/>
      <c r="D66" s="4"/>
      <c r="E66" s="4"/>
      <c r="F66" s="4"/>
      <c r="G66" s="4"/>
      <c r="H66" s="4"/>
      <c r="I66" s="4"/>
      <c r="J66" s="4"/>
      <c r="K66" s="4"/>
      <c r="L66" s="4"/>
      <c r="M66" s="328"/>
      <c r="N66" s="62"/>
    </row>
    <row r="67" spans="3:14" s="1" customFormat="1" ht="12.75">
      <c r="C67" s="4"/>
      <c r="D67" s="4"/>
      <c r="E67" s="4"/>
      <c r="F67" s="4"/>
      <c r="G67" s="4"/>
      <c r="H67" s="4"/>
      <c r="I67" s="4"/>
      <c r="J67" s="4"/>
      <c r="K67" s="4"/>
      <c r="L67" s="4"/>
      <c r="M67" s="328"/>
      <c r="N67" s="62"/>
    </row>
    <row r="68" spans="3:14" s="1" customFormat="1" ht="12.75">
      <c r="C68" s="4"/>
      <c r="D68" s="4"/>
      <c r="E68" s="4"/>
      <c r="F68" s="4"/>
      <c r="G68" s="4"/>
      <c r="H68" s="4"/>
      <c r="I68" s="4"/>
      <c r="J68" s="4"/>
      <c r="K68" s="4"/>
      <c r="L68" s="4"/>
      <c r="M68" s="328"/>
      <c r="N68" s="62"/>
    </row>
    <row r="69" spans="3:14" s="1" customFormat="1" ht="12.75">
      <c r="C69" s="4"/>
      <c r="D69" s="4"/>
      <c r="E69" s="4"/>
      <c r="F69" s="4"/>
      <c r="G69" s="4"/>
      <c r="H69" s="4"/>
      <c r="I69" s="4"/>
      <c r="J69" s="4"/>
      <c r="K69" s="4"/>
      <c r="L69" s="4"/>
      <c r="M69" s="328"/>
      <c r="N69" s="62"/>
    </row>
    <row r="70" spans="3:14" s="1" customFormat="1" ht="12.75">
      <c r="C70" s="4"/>
      <c r="D70" s="4"/>
      <c r="E70" s="4"/>
      <c r="F70" s="4"/>
      <c r="G70" s="4"/>
      <c r="H70" s="4"/>
      <c r="I70" s="4"/>
      <c r="J70" s="4"/>
      <c r="K70" s="4"/>
      <c r="L70" s="4"/>
      <c r="M70" s="328"/>
      <c r="N70" s="62"/>
    </row>
    <row r="71" spans="3:14" s="1" customFormat="1" ht="12.75">
      <c r="C71" s="4"/>
      <c r="D71" s="4"/>
      <c r="E71" s="4"/>
      <c r="F71" s="4"/>
      <c r="G71" s="4"/>
      <c r="H71" s="4"/>
      <c r="I71" s="4"/>
      <c r="J71" s="4"/>
      <c r="K71" s="4"/>
      <c r="L71" s="4"/>
      <c r="M71" s="328"/>
      <c r="N71" s="62"/>
    </row>
    <row r="72" spans="3:14" s="1" customFormat="1" ht="12.75">
      <c r="C72" s="4"/>
      <c r="D72" s="4"/>
      <c r="E72" s="4"/>
      <c r="F72" s="4"/>
      <c r="G72" s="4"/>
      <c r="H72" s="4"/>
      <c r="I72" s="4"/>
      <c r="J72" s="4"/>
      <c r="K72" s="4"/>
      <c r="L72" s="4"/>
      <c r="M72" s="328"/>
      <c r="N72" s="62"/>
    </row>
    <row r="73" spans="3:14" s="1" customFormat="1" ht="12.75">
      <c r="C73" s="4"/>
      <c r="D73" s="4"/>
      <c r="E73" s="4"/>
      <c r="F73" s="4"/>
      <c r="G73" s="4"/>
      <c r="H73" s="4"/>
      <c r="I73" s="4"/>
      <c r="J73" s="4"/>
      <c r="K73" s="4"/>
      <c r="L73" s="4"/>
      <c r="M73" s="328"/>
      <c r="N73" s="62"/>
    </row>
    <row r="74" spans="3:14" s="1" customFormat="1" ht="12.75">
      <c r="C74" s="4"/>
      <c r="D74" s="4"/>
      <c r="E74" s="4"/>
      <c r="F74" s="4"/>
      <c r="G74" s="4"/>
      <c r="H74" s="4"/>
      <c r="I74" s="4"/>
      <c r="J74" s="4"/>
      <c r="K74" s="4"/>
      <c r="L74" s="4"/>
      <c r="M74" s="328"/>
      <c r="N74" s="62"/>
    </row>
    <row r="75" spans="3:14" s="1" customFormat="1" ht="12.75">
      <c r="C75" s="4"/>
      <c r="D75" s="4"/>
      <c r="E75" s="4"/>
      <c r="F75" s="4"/>
      <c r="G75" s="4"/>
      <c r="H75" s="4"/>
      <c r="I75" s="4"/>
      <c r="J75" s="4"/>
      <c r="K75" s="4"/>
      <c r="L75" s="4"/>
      <c r="M75" s="328"/>
      <c r="N75" s="62"/>
    </row>
    <row r="76" spans="3:14" s="1" customFormat="1" ht="12.75">
      <c r="C76" s="4"/>
      <c r="D76" s="4"/>
      <c r="E76" s="4"/>
      <c r="F76" s="4"/>
      <c r="G76" s="4"/>
      <c r="H76" s="4"/>
      <c r="I76" s="4"/>
      <c r="J76" s="4"/>
      <c r="K76" s="4"/>
      <c r="L76" s="4"/>
      <c r="M76" s="328"/>
      <c r="N76" s="62"/>
    </row>
    <row r="77" spans="3:14" s="1" customFormat="1" ht="12.75">
      <c r="C77" s="4"/>
      <c r="D77" s="4"/>
      <c r="E77" s="4"/>
      <c r="F77" s="4"/>
      <c r="G77" s="4"/>
      <c r="H77" s="4"/>
      <c r="I77" s="4"/>
      <c r="J77" s="4"/>
      <c r="K77" s="4"/>
      <c r="L77" s="4"/>
      <c r="M77" s="328"/>
      <c r="N77" s="62"/>
    </row>
    <row r="78" spans="3:14" s="1" customFormat="1" ht="12.75">
      <c r="C78" s="4"/>
      <c r="D78" s="4"/>
      <c r="E78" s="4"/>
      <c r="F78" s="4"/>
      <c r="G78" s="4"/>
      <c r="H78" s="4"/>
      <c r="I78" s="4"/>
      <c r="J78" s="4"/>
      <c r="K78" s="4"/>
      <c r="L78" s="4"/>
      <c r="M78" s="328"/>
      <c r="N78" s="62"/>
    </row>
    <row r="79" spans="3:14" s="1" customFormat="1" ht="12.75">
      <c r="C79" s="4"/>
      <c r="D79" s="4"/>
      <c r="E79" s="4"/>
      <c r="F79" s="4"/>
      <c r="G79" s="4"/>
      <c r="H79" s="4"/>
      <c r="I79" s="4"/>
      <c r="J79" s="4"/>
      <c r="K79" s="4"/>
      <c r="L79" s="4"/>
      <c r="M79" s="328"/>
      <c r="N79" s="62"/>
    </row>
    <row r="80" spans="3:14" s="1" customFormat="1" ht="12.75">
      <c r="C80" s="4"/>
      <c r="D80" s="4"/>
      <c r="E80" s="4"/>
      <c r="F80" s="4"/>
      <c r="G80" s="4"/>
      <c r="H80" s="4"/>
      <c r="I80" s="4"/>
      <c r="J80" s="4"/>
      <c r="K80" s="4"/>
      <c r="L80" s="4"/>
      <c r="M80" s="328"/>
      <c r="N80" s="62"/>
    </row>
    <row r="81" spans="3:14" s="1" customFormat="1" ht="12.75">
      <c r="C81" s="4"/>
      <c r="D81" s="4"/>
      <c r="E81" s="4"/>
      <c r="F81" s="4"/>
      <c r="G81" s="4"/>
      <c r="H81" s="4"/>
      <c r="I81" s="4"/>
      <c r="J81" s="4"/>
      <c r="K81" s="4"/>
      <c r="L81" s="4"/>
      <c r="M81" s="328"/>
      <c r="N81" s="62"/>
    </row>
    <row r="82" spans="3:14" s="1" customFormat="1" ht="12.75">
      <c r="C82" s="4"/>
      <c r="D82" s="4"/>
      <c r="E82" s="4"/>
      <c r="F82" s="4"/>
      <c r="G82" s="4"/>
      <c r="H82" s="4"/>
      <c r="I82" s="4"/>
      <c r="J82" s="4"/>
      <c r="K82" s="4"/>
      <c r="L82" s="4"/>
      <c r="M82" s="328"/>
      <c r="N82" s="62"/>
    </row>
    <row r="83" spans="3:14" s="1" customFormat="1" ht="12.75">
      <c r="C83" s="4"/>
      <c r="D83" s="4"/>
      <c r="E83" s="4"/>
      <c r="F83" s="4"/>
      <c r="G83" s="4"/>
      <c r="H83" s="4"/>
      <c r="I83" s="4"/>
      <c r="J83" s="4"/>
      <c r="K83" s="4"/>
      <c r="L83" s="4"/>
      <c r="M83" s="328"/>
      <c r="N83" s="62"/>
    </row>
    <row r="84" spans="3:14" s="1" customFormat="1" ht="12.75">
      <c r="C84" s="4"/>
      <c r="D84" s="4"/>
      <c r="E84" s="4"/>
      <c r="F84" s="4"/>
      <c r="G84" s="4"/>
      <c r="H84" s="4"/>
      <c r="I84" s="4"/>
      <c r="J84" s="4"/>
      <c r="K84" s="4"/>
      <c r="L84" s="4"/>
      <c r="M84" s="328"/>
      <c r="N84" s="62"/>
    </row>
    <row r="85" spans="3:14" s="1" customFormat="1" ht="12.75">
      <c r="C85" s="4"/>
      <c r="D85" s="4"/>
      <c r="E85" s="4"/>
      <c r="F85" s="4"/>
      <c r="G85" s="4"/>
      <c r="H85" s="4"/>
      <c r="I85" s="4"/>
      <c r="J85" s="4"/>
      <c r="K85" s="4"/>
      <c r="L85" s="4"/>
      <c r="M85" s="328"/>
      <c r="N85" s="62"/>
    </row>
    <row r="86" spans="3:14" s="1" customFormat="1" ht="12.75">
      <c r="C86" s="4"/>
      <c r="D86" s="4"/>
      <c r="E86" s="4"/>
      <c r="F86" s="4"/>
      <c r="G86" s="4"/>
      <c r="H86" s="4"/>
      <c r="I86" s="4"/>
      <c r="J86" s="4"/>
      <c r="K86" s="4"/>
      <c r="L86" s="4"/>
      <c r="M86" s="328"/>
      <c r="N86" s="62"/>
    </row>
    <row r="87" spans="3:14" s="1" customFormat="1" ht="12.75">
      <c r="C87" s="4"/>
      <c r="D87" s="4"/>
      <c r="E87" s="4"/>
      <c r="F87" s="4"/>
      <c r="G87" s="4"/>
      <c r="H87" s="4"/>
      <c r="I87" s="4"/>
      <c r="J87" s="4"/>
      <c r="K87" s="4"/>
      <c r="L87" s="4"/>
      <c r="M87" s="328"/>
      <c r="N87" s="62"/>
    </row>
    <row r="88" spans="3:14" s="1" customFormat="1" ht="12.75">
      <c r="C88" s="4"/>
      <c r="D88" s="4"/>
      <c r="E88" s="4"/>
      <c r="F88" s="4"/>
      <c r="G88" s="4"/>
      <c r="H88" s="4"/>
      <c r="I88" s="4"/>
      <c r="J88" s="4"/>
      <c r="K88" s="4"/>
      <c r="L88" s="4"/>
      <c r="M88" s="328"/>
      <c r="N88" s="62"/>
    </row>
    <row r="89" spans="3:14" s="1" customFormat="1" ht="12.75">
      <c r="C89" s="4"/>
      <c r="D89" s="4"/>
      <c r="E89" s="4"/>
      <c r="F89" s="4"/>
      <c r="G89" s="4"/>
      <c r="H89" s="4"/>
      <c r="I89" s="4"/>
      <c r="J89" s="4"/>
      <c r="K89" s="4"/>
      <c r="L89" s="4"/>
      <c r="M89" s="328"/>
      <c r="N89" s="62"/>
    </row>
    <row r="90" spans="3:14" s="1" customFormat="1" ht="12.75">
      <c r="C90" s="4"/>
      <c r="D90" s="4"/>
      <c r="E90" s="4"/>
      <c r="F90" s="4"/>
      <c r="G90" s="4"/>
      <c r="H90" s="4"/>
      <c r="I90" s="4"/>
      <c r="J90" s="4"/>
      <c r="K90" s="4"/>
      <c r="L90" s="4"/>
      <c r="M90" s="328"/>
      <c r="N90" s="62"/>
    </row>
    <row r="91" spans="3:14" s="1" customFormat="1" ht="12.75">
      <c r="C91" s="4"/>
      <c r="D91" s="4"/>
      <c r="E91" s="4"/>
      <c r="F91" s="4"/>
      <c r="G91" s="4"/>
      <c r="H91" s="4"/>
      <c r="I91" s="4"/>
      <c r="J91" s="4"/>
      <c r="K91" s="4"/>
      <c r="L91" s="4"/>
      <c r="M91" s="328"/>
      <c r="N91" s="62"/>
    </row>
    <row r="92" spans="3:14" s="1" customFormat="1" ht="12.75">
      <c r="C92" s="4"/>
      <c r="D92" s="4"/>
      <c r="E92" s="4"/>
      <c r="F92" s="4"/>
      <c r="G92" s="4"/>
      <c r="H92" s="4"/>
      <c r="I92" s="4"/>
      <c r="J92" s="4"/>
      <c r="K92" s="4"/>
      <c r="L92" s="4"/>
      <c r="M92" s="328"/>
      <c r="N92" s="62"/>
    </row>
    <row r="93" spans="3:14" s="1" customFormat="1" ht="12.75">
      <c r="C93" s="4"/>
      <c r="D93" s="4"/>
      <c r="E93" s="4"/>
      <c r="F93" s="4"/>
      <c r="G93" s="4"/>
      <c r="H93" s="4"/>
      <c r="I93" s="4"/>
      <c r="J93" s="4"/>
      <c r="K93" s="4"/>
      <c r="L93" s="4"/>
      <c r="M93" s="328"/>
      <c r="N93" s="62"/>
    </row>
    <row r="94" spans="3:14" s="1" customFormat="1" ht="12.75">
      <c r="C94" s="4"/>
      <c r="D94" s="4"/>
      <c r="E94" s="4"/>
      <c r="F94" s="4"/>
      <c r="G94" s="4"/>
      <c r="H94" s="4"/>
      <c r="I94" s="4"/>
      <c r="J94" s="4"/>
      <c r="K94" s="4"/>
      <c r="L94" s="4"/>
      <c r="M94" s="328"/>
      <c r="N94" s="62"/>
    </row>
    <row r="95" spans="3:14" s="1" customFormat="1" ht="12.75">
      <c r="C95" s="4"/>
      <c r="D95" s="4"/>
      <c r="E95" s="4"/>
      <c r="F95" s="4"/>
      <c r="G95" s="4"/>
      <c r="H95" s="4"/>
      <c r="I95" s="4"/>
      <c r="J95" s="4"/>
      <c r="K95" s="4"/>
      <c r="L95" s="4"/>
      <c r="M95" s="328"/>
      <c r="N95" s="62"/>
    </row>
    <row r="96" spans="3:14" s="1" customFormat="1" ht="12.75">
      <c r="C96" s="4"/>
      <c r="D96" s="4"/>
      <c r="E96" s="4"/>
      <c r="F96" s="4"/>
      <c r="G96" s="4"/>
      <c r="H96" s="4"/>
      <c r="I96" s="4"/>
      <c r="J96" s="4"/>
      <c r="K96" s="4"/>
      <c r="L96" s="4"/>
      <c r="M96" s="328"/>
      <c r="N96" s="62"/>
    </row>
    <row r="97" spans="3:14" s="1" customFormat="1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328"/>
      <c r="N97" s="62"/>
    </row>
    <row r="98" spans="3:14" s="1" customFormat="1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328"/>
      <c r="N98" s="62"/>
    </row>
    <row r="99" spans="3:14" s="1" customFormat="1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328"/>
      <c r="N99" s="62"/>
    </row>
    <row r="100" spans="3:14" s="1" customFormat="1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328"/>
      <c r="N100" s="62"/>
    </row>
    <row r="101" spans="3:14" s="1" customFormat="1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328"/>
      <c r="N101" s="62"/>
    </row>
    <row r="102" spans="3:14" s="1" customFormat="1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328"/>
      <c r="N102" s="62"/>
    </row>
    <row r="103" spans="3:14" s="1" customFormat="1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328"/>
      <c r="N103" s="62"/>
    </row>
    <row r="104" spans="3:14" s="1" customFormat="1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328"/>
      <c r="N104" s="62"/>
    </row>
    <row r="105" spans="3:14" s="1" customFormat="1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328"/>
      <c r="N105" s="62"/>
    </row>
    <row r="106" spans="3:14" s="1" customFormat="1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328"/>
      <c r="N106" s="62"/>
    </row>
    <row r="107" spans="3:14" s="1" customFormat="1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328"/>
      <c r="N107" s="62"/>
    </row>
    <row r="108" spans="3:14" s="1" customFormat="1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328"/>
      <c r="N108" s="62"/>
    </row>
    <row r="109" spans="3:14" s="1" customFormat="1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328"/>
      <c r="N109" s="62"/>
    </row>
    <row r="110" spans="3:14" s="1" customFormat="1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328"/>
      <c r="N110" s="62"/>
    </row>
    <row r="111" spans="3:14" s="1" customFormat="1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328"/>
      <c r="N111" s="62"/>
    </row>
    <row r="112" spans="3:14" s="1" customFormat="1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328"/>
      <c r="N112" s="62"/>
    </row>
    <row r="113" spans="3:14" s="1" customFormat="1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328"/>
      <c r="N113" s="62"/>
    </row>
    <row r="114" spans="3:14" s="1" customFormat="1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328"/>
      <c r="N114" s="62"/>
    </row>
    <row r="115" spans="3:14" s="1" customFormat="1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328"/>
      <c r="N115" s="62"/>
    </row>
    <row r="116" spans="3:14" s="1" customFormat="1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328"/>
      <c r="N116" s="62"/>
    </row>
    <row r="117" spans="3:14" s="1" customFormat="1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328"/>
      <c r="N117" s="62"/>
    </row>
    <row r="118" spans="3:14" s="1" customFormat="1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328"/>
      <c r="N118" s="62"/>
    </row>
    <row r="119" spans="3:14" s="1" customFormat="1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328"/>
      <c r="N119" s="62"/>
    </row>
    <row r="120" spans="3:14" s="1" customFormat="1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328"/>
      <c r="N120" s="62"/>
    </row>
    <row r="121" spans="3:14" s="1" customFormat="1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328"/>
      <c r="N121" s="62"/>
    </row>
    <row r="122" spans="3:14" s="1" customFormat="1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328"/>
      <c r="N122" s="62"/>
    </row>
    <row r="123" spans="3:14" s="1" customFormat="1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328"/>
      <c r="N123" s="62"/>
    </row>
    <row r="124" spans="3:14" s="1" customFormat="1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328"/>
      <c r="N124" s="62"/>
    </row>
    <row r="125" spans="3:14" s="1" customFormat="1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328"/>
      <c r="N125" s="62"/>
    </row>
    <row r="126" spans="3:14" s="1" customFormat="1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328"/>
      <c r="N126" s="62"/>
    </row>
    <row r="127" spans="3:14" s="1" customFormat="1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328"/>
      <c r="N127" s="62"/>
    </row>
    <row r="128" spans="3:14" s="1" customFormat="1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328"/>
      <c r="N128" s="62"/>
    </row>
    <row r="129" spans="3:14" s="1" customFormat="1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328"/>
      <c r="N129" s="62"/>
    </row>
    <row r="130" spans="3:14" s="1" customFormat="1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328"/>
      <c r="N130" s="62"/>
    </row>
    <row r="131" spans="3:14" s="1" customFormat="1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328"/>
      <c r="N131" s="62"/>
    </row>
    <row r="132" spans="3:14" s="1" customFormat="1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328"/>
      <c r="N132" s="62"/>
    </row>
    <row r="65285" ht="12.75">
      <c r="GE65285" s="38" t="e">
        <f>#N/A</f>
        <v>#N/A</v>
      </c>
    </row>
  </sheetData>
  <sheetProtection/>
  <mergeCells count="14">
    <mergeCell ref="F34:G34"/>
    <mergeCell ref="H34:I34"/>
    <mergeCell ref="J34:K34"/>
    <mergeCell ref="F31:G31"/>
    <mergeCell ref="H31:I31"/>
    <mergeCell ref="J31:K31"/>
    <mergeCell ref="F33:G33"/>
    <mergeCell ref="H33:I33"/>
    <mergeCell ref="J33:K33"/>
    <mergeCell ref="F32:G32"/>
    <mergeCell ref="H32:I32"/>
    <mergeCell ref="J32:K32"/>
    <mergeCell ref="A1:M1"/>
    <mergeCell ref="C5:D5"/>
  </mergeCells>
  <printOptions horizontalCentered="1"/>
  <pageMargins left="0.25" right="0.17" top="0.19" bottom="0.21" header="0.44" footer="0.21"/>
  <pageSetup fitToHeight="2"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O141"/>
  <sheetViews>
    <sheetView zoomScale="80" zoomScaleNormal="80" zoomScalePageLayoutView="0" workbookViewId="0" topLeftCell="A1">
      <selection activeCell="B11" sqref="B11:E11"/>
    </sheetView>
  </sheetViews>
  <sheetFormatPr defaultColWidth="9.140625" defaultRowHeight="12.75"/>
  <cols>
    <col min="1" max="1" width="7.00390625" style="0" customWidth="1"/>
    <col min="2" max="2" width="21.57421875" style="0" customWidth="1"/>
    <col min="3" max="5" width="17.7109375" style="3" customWidth="1"/>
    <col min="6" max="11" width="4.7109375" style="3" customWidth="1"/>
    <col min="12" max="12" width="8.7109375" style="3" customWidth="1"/>
    <col min="13" max="13" width="5.28125" style="50" customWidth="1"/>
    <col min="14" max="14" width="9.140625" style="76" customWidth="1"/>
  </cols>
  <sheetData>
    <row r="1" spans="1:13" ht="16.5" customHeight="1">
      <c r="A1" s="505" t="s">
        <v>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</row>
    <row r="2" spans="1:13" ht="30" customHeight="1">
      <c r="A2" s="23"/>
      <c r="B2" s="24"/>
      <c r="C2" s="25"/>
      <c r="D2" s="26" t="s">
        <v>18</v>
      </c>
      <c r="E2" s="25"/>
      <c r="F2" s="24"/>
      <c r="G2" s="24"/>
      <c r="H2" s="24"/>
      <c r="I2" s="24"/>
      <c r="J2" s="24"/>
      <c r="K2" s="24"/>
      <c r="L2" s="24"/>
      <c r="M2" s="65"/>
    </row>
    <row r="3" spans="1:8" ht="16.5" customHeight="1">
      <c r="A3" s="10" t="s">
        <v>463</v>
      </c>
      <c r="B3" s="11" t="s">
        <v>323</v>
      </c>
      <c r="C3" s="11"/>
      <c r="D3" s="11"/>
      <c r="E3" s="11"/>
      <c r="F3" s="11"/>
      <c r="G3" s="11"/>
      <c r="H3" s="11"/>
    </row>
    <row r="4" spans="1:5" ht="15.75">
      <c r="A4" s="19" t="s">
        <v>1</v>
      </c>
      <c r="B4" s="20"/>
      <c r="C4" s="506" t="s">
        <v>464</v>
      </c>
      <c r="D4" s="506"/>
      <c r="E4" s="21"/>
    </row>
    <row r="5" spans="1:5" ht="15.75">
      <c r="A5" s="19" t="s">
        <v>2</v>
      </c>
      <c r="B5" s="20"/>
      <c r="C5" s="22" t="s">
        <v>4</v>
      </c>
      <c r="D5" s="21"/>
      <c r="E5" s="21"/>
    </row>
    <row r="6" spans="1:5" ht="15.75">
      <c r="A6" s="19" t="s">
        <v>3</v>
      </c>
      <c r="B6" s="20"/>
      <c r="C6" s="22" t="s">
        <v>45</v>
      </c>
      <c r="D6" s="21"/>
      <c r="E6" s="21"/>
    </row>
    <row r="7" spans="3:14" s="1" customFormat="1" ht="12.75">
      <c r="C7" s="4"/>
      <c r="D7" s="4"/>
      <c r="E7" s="4"/>
      <c r="F7" s="4"/>
      <c r="G7" s="4"/>
      <c r="H7" s="4"/>
      <c r="I7" s="4"/>
      <c r="J7" s="4"/>
      <c r="K7" s="4"/>
      <c r="L7" s="4"/>
      <c r="M7" s="57"/>
      <c r="N7" s="66"/>
    </row>
    <row r="8" spans="1:14" s="1" customFormat="1" ht="12.75" customHeight="1">
      <c r="A8" s="6" t="s">
        <v>19</v>
      </c>
      <c r="B8" s="7"/>
      <c r="C8" s="8"/>
      <c r="D8" s="8"/>
      <c r="E8" s="8"/>
      <c r="F8" s="7"/>
      <c r="G8" s="7"/>
      <c r="H8" s="7"/>
      <c r="I8" s="7"/>
      <c r="J8" s="7"/>
      <c r="K8" s="7"/>
      <c r="L8" s="7"/>
      <c r="M8" s="58"/>
      <c r="N8" s="66"/>
    </row>
    <row r="9" spans="1:14" s="1" customFormat="1" ht="25.5" customHeight="1">
      <c r="A9" s="2" t="s">
        <v>8</v>
      </c>
      <c r="B9" s="18" t="s">
        <v>9</v>
      </c>
      <c r="C9" s="18" t="s">
        <v>5</v>
      </c>
      <c r="D9" s="18" t="s">
        <v>6</v>
      </c>
      <c r="E9" s="18" t="s">
        <v>7</v>
      </c>
      <c r="F9" s="2" t="s">
        <v>38</v>
      </c>
      <c r="G9" s="2" t="s">
        <v>39</v>
      </c>
      <c r="H9" s="2" t="s">
        <v>40</v>
      </c>
      <c r="I9" s="2" t="s">
        <v>41</v>
      </c>
      <c r="J9" s="2" t="s">
        <v>42</v>
      </c>
      <c r="K9" s="2" t="s">
        <v>43</v>
      </c>
      <c r="L9" s="17" t="s">
        <v>10</v>
      </c>
      <c r="M9" s="59" t="s">
        <v>44</v>
      </c>
      <c r="N9" s="66"/>
    </row>
    <row r="10" spans="1:14" s="1" customFormat="1" ht="12.75">
      <c r="A10" s="5" t="s">
        <v>22</v>
      </c>
      <c r="B10" s="137" t="s">
        <v>61</v>
      </c>
      <c r="C10" s="55">
        <v>1958</v>
      </c>
      <c r="D10" s="373">
        <v>4061</v>
      </c>
      <c r="E10" s="55" t="s">
        <v>152</v>
      </c>
      <c r="F10" s="12">
        <f>20+19+17+18+19</f>
        <v>93</v>
      </c>
      <c r="G10" s="12">
        <v>93</v>
      </c>
      <c r="H10" s="12">
        <f>18+18+20+19+17</f>
        <v>92</v>
      </c>
      <c r="I10" s="12">
        <f>20+19+17+18+18</f>
        <v>92</v>
      </c>
      <c r="J10" s="12"/>
      <c r="K10" s="12"/>
      <c r="L10" s="9">
        <f aca="true" t="shared" si="0" ref="L10:L16">SUM(F10:K10)</f>
        <v>370</v>
      </c>
      <c r="M10" s="60" t="s">
        <v>358</v>
      </c>
      <c r="N10" s="66"/>
    </row>
    <row r="11" spans="1:14" s="1" customFormat="1" ht="12.75">
      <c r="A11" s="5" t="s">
        <v>23</v>
      </c>
      <c r="B11" s="377" t="s">
        <v>179</v>
      </c>
      <c r="C11" s="417">
        <v>1984</v>
      </c>
      <c r="D11" s="417">
        <v>38394</v>
      </c>
      <c r="E11" s="417" t="s">
        <v>97</v>
      </c>
      <c r="F11" s="12">
        <v>86</v>
      </c>
      <c r="G11" s="12">
        <f>17+17+18+17+16</f>
        <v>85</v>
      </c>
      <c r="H11" s="12">
        <v>86</v>
      </c>
      <c r="I11" s="12">
        <v>85</v>
      </c>
      <c r="J11" s="12"/>
      <c r="K11" s="12"/>
      <c r="L11" s="9">
        <f t="shared" si="0"/>
        <v>342</v>
      </c>
      <c r="M11" s="60" t="s">
        <v>265</v>
      </c>
      <c r="N11" s="66"/>
    </row>
    <row r="12" spans="1:14" s="1" customFormat="1" ht="12.75">
      <c r="A12" s="5" t="s">
        <v>24</v>
      </c>
      <c r="B12" s="137" t="s">
        <v>156</v>
      </c>
      <c r="C12" s="56">
        <v>1990</v>
      </c>
      <c r="D12" s="160" t="s">
        <v>417</v>
      </c>
      <c r="E12" s="8" t="s">
        <v>97</v>
      </c>
      <c r="F12" s="12">
        <f>15+18+15+17+15</f>
        <v>80</v>
      </c>
      <c r="G12" s="12">
        <f>15+18+19+18+17</f>
        <v>87</v>
      </c>
      <c r="H12" s="12">
        <f>19+18+20+15+17</f>
        <v>89</v>
      </c>
      <c r="I12" s="12">
        <f>17+16+17+18+17</f>
        <v>85</v>
      </c>
      <c r="J12" s="12"/>
      <c r="K12" s="12"/>
      <c r="L12" s="9">
        <f t="shared" si="0"/>
        <v>341</v>
      </c>
      <c r="M12" s="60" t="s">
        <v>265</v>
      </c>
      <c r="N12" s="66"/>
    </row>
    <row r="13" spans="1:14" s="1" customFormat="1" ht="14.25">
      <c r="A13" s="5" t="s">
        <v>25</v>
      </c>
      <c r="B13" s="33" t="s">
        <v>159</v>
      </c>
      <c r="C13" s="87">
        <v>1994</v>
      </c>
      <c r="D13" s="12">
        <v>37964</v>
      </c>
      <c r="E13" s="56" t="s">
        <v>152</v>
      </c>
      <c r="F13" s="12">
        <f>19+19+15+19+18</f>
        <v>90</v>
      </c>
      <c r="G13" s="12">
        <f>15+15+19+19+20</f>
        <v>88</v>
      </c>
      <c r="H13" s="12">
        <f>17+18+15+15+13</f>
        <v>78</v>
      </c>
      <c r="I13" s="12">
        <f>15+19+14+16+17</f>
        <v>81</v>
      </c>
      <c r="J13" s="12"/>
      <c r="K13" s="12"/>
      <c r="L13" s="9">
        <f t="shared" si="0"/>
        <v>337</v>
      </c>
      <c r="M13" s="60" t="s">
        <v>265</v>
      </c>
      <c r="N13" s="66"/>
    </row>
    <row r="14" spans="1:14" s="1" customFormat="1" ht="12.75">
      <c r="A14" s="5" t="s">
        <v>26</v>
      </c>
      <c r="B14" s="365" t="s">
        <v>259</v>
      </c>
      <c r="C14" s="109">
        <v>1994</v>
      </c>
      <c r="D14" s="109">
        <v>31673</v>
      </c>
      <c r="E14" s="109" t="s">
        <v>352</v>
      </c>
      <c r="F14" s="12">
        <v>88</v>
      </c>
      <c r="G14" s="12">
        <f>15+14+15+16+12</f>
        <v>72</v>
      </c>
      <c r="H14" s="12">
        <f>18+14+17+15+14</f>
        <v>78</v>
      </c>
      <c r="I14" s="12">
        <f>18+9+15+16+16</f>
        <v>74</v>
      </c>
      <c r="J14" s="12"/>
      <c r="K14" s="12"/>
      <c r="L14" s="9">
        <f t="shared" si="0"/>
        <v>312</v>
      </c>
      <c r="M14" s="60"/>
      <c r="N14" s="66"/>
    </row>
    <row r="15" spans="1:14" s="1" customFormat="1" ht="12.75">
      <c r="A15" s="5" t="s">
        <v>27</v>
      </c>
      <c r="B15" s="13" t="s">
        <v>388</v>
      </c>
      <c r="C15" s="12">
        <v>1996</v>
      </c>
      <c r="D15" s="12">
        <v>37862</v>
      </c>
      <c r="E15" s="109" t="s">
        <v>349</v>
      </c>
      <c r="F15" s="12">
        <f>16+12+17+13+16</f>
        <v>74</v>
      </c>
      <c r="G15" s="12">
        <f>15+15+7+13+14</f>
        <v>64</v>
      </c>
      <c r="H15" s="12">
        <f>19+16+14+15+20</f>
        <v>84</v>
      </c>
      <c r="I15" s="12">
        <f>19+16+16+13+14</f>
        <v>78</v>
      </c>
      <c r="J15" s="12"/>
      <c r="K15" s="12"/>
      <c r="L15" s="9">
        <f t="shared" si="0"/>
        <v>300</v>
      </c>
      <c r="M15" s="60"/>
      <c r="N15" s="66"/>
    </row>
    <row r="16" spans="1:14" s="1" customFormat="1" ht="12.75">
      <c r="A16" s="5" t="s">
        <v>28</v>
      </c>
      <c r="B16" s="419" t="s">
        <v>422</v>
      </c>
      <c r="C16" s="420">
        <v>1994</v>
      </c>
      <c r="D16" s="421" t="s">
        <v>423</v>
      </c>
      <c r="E16" s="420" t="s">
        <v>349</v>
      </c>
      <c r="F16" s="12">
        <f>16+12+14+14+13</f>
        <v>69</v>
      </c>
      <c r="G16" s="12">
        <f>18+15+19+15+17</f>
        <v>84</v>
      </c>
      <c r="H16" s="12">
        <f>14+13+13+9+17</f>
        <v>66</v>
      </c>
      <c r="I16" s="12">
        <f>19+18+12+16+9</f>
        <v>74</v>
      </c>
      <c r="J16" s="12"/>
      <c r="K16" s="12"/>
      <c r="L16" s="9">
        <f t="shared" si="0"/>
        <v>293</v>
      </c>
      <c r="M16" s="60"/>
      <c r="N16" s="66"/>
    </row>
    <row r="17" spans="1:14" s="1" customFormat="1" ht="24.75" customHeight="1">
      <c r="A17" s="6" t="s">
        <v>20</v>
      </c>
      <c r="B17" s="7"/>
      <c r="C17" s="8"/>
      <c r="D17" s="8"/>
      <c r="E17" s="8"/>
      <c r="F17" s="7"/>
      <c r="G17" s="7"/>
      <c r="H17" s="7"/>
      <c r="I17" s="7"/>
      <c r="J17" s="7"/>
      <c r="K17" s="7"/>
      <c r="L17" s="7"/>
      <c r="M17" s="58"/>
      <c r="N17" s="66"/>
    </row>
    <row r="18" spans="1:15" s="1" customFormat="1" ht="25.5" customHeight="1">
      <c r="A18" s="2" t="s">
        <v>8</v>
      </c>
      <c r="B18" s="18" t="s">
        <v>9</v>
      </c>
      <c r="C18" s="18" t="s">
        <v>5</v>
      </c>
      <c r="D18" s="18" t="s">
        <v>6</v>
      </c>
      <c r="E18" s="18" t="s">
        <v>7</v>
      </c>
      <c r="F18" s="2" t="s">
        <v>38</v>
      </c>
      <c r="G18" s="2" t="s">
        <v>39</v>
      </c>
      <c r="H18" s="2" t="s">
        <v>40</v>
      </c>
      <c r="I18" s="2" t="s">
        <v>41</v>
      </c>
      <c r="J18" s="2" t="s">
        <v>42</v>
      </c>
      <c r="K18" s="2" t="s">
        <v>43</v>
      </c>
      <c r="L18" s="17" t="s">
        <v>10</v>
      </c>
      <c r="M18" s="59" t="s">
        <v>44</v>
      </c>
      <c r="N18" s="67" t="s">
        <v>100</v>
      </c>
      <c r="O18" s="27"/>
    </row>
    <row r="19" spans="1:14" s="1" customFormat="1" ht="12.75">
      <c r="A19" s="5" t="s">
        <v>22</v>
      </c>
      <c r="B19" s="137" t="s">
        <v>284</v>
      </c>
      <c r="C19" s="109">
        <v>1957</v>
      </c>
      <c r="D19" s="4">
        <v>32651</v>
      </c>
      <c r="E19" s="109" t="s">
        <v>349</v>
      </c>
      <c r="F19" s="4">
        <f>19+19+20+18+19</f>
        <v>95</v>
      </c>
      <c r="G19" s="4">
        <f>19+19+20+19+17</f>
        <v>94</v>
      </c>
      <c r="H19" s="4">
        <f>20+19+19+18+18</f>
        <v>94</v>
      </c>
      <c r="I19" s="4">
        <f>19+17+20+20+19</f>
        <v>95</v>
      </c>
      <c r="J19" s="4">
        <f>18+19+17+18+18</f>
        <v>90</v>
      </c>
      <c r="K19" s="4">
        <f>20+19+18+18+20</f>
        <v>95</v>
      </c>
      <c r="L19" s="9">
        <f aca="true" t="shared" si="1" ref="L19:L32">SUM(F19:K19)</f>
        <v>563</v>
      </c>
      <c r="M19" s="57" t="s">
        <v>358</v>
      </c>
      <c r="N19" s="66">
        <f aca="true" t="shared" si="2" ref="N19:N32">SUM(F19:I19)</f>
        <v>378</v>
      </c>
    </row>
    <row r="20" spans="1:14" s="1" customFormat="1" ht="12.75">
      <c r="A20" s="5" t="s">
        <v>23</v>
      </c>
      <c r="B20" s="137" t="s">
        <v>360</v>
      </c>
      <c r="C20" s="109">
        <v>1970</v>
      </c>
      <c r="D20" s="4">
        <v>29592</v>
      </c>
      <c r="E20" s="109" t="s">
        <v>349</v>
      </c>
      <c r="F20" s="4">
        <v>94</v>
      </c>
      <c r="G20" s="4">
        <v>94</v>
      </c>
      <c r="H20" s="4">
        <v>97</v>
      </c>
      <c r="I20" s="4">
        <v>94</v>
      </c>
      <c r="J20" s="4">
        <v>91</v>
      </c>
      <c r="K20" s="4">
        <v>93</v>
      </c>
      <c r="L20" s="9">
        <f t="shared" si="1"/>
        <v>563</v>
      </c>
      <c r="M20" s="57" t="s">
        <v>266</v>
      </c>
      <c r="N20" s="66">
        <f t="shared" si="2"/>
        <v>379</v>
      </c>
    </row>
    <row r="21" spans="1:14" s="1" customFormat="1" ht="12.75">
      <c r="A21" s="5" t="s">
        <v>24</v>
      </c>
      <c r="B21" s="159" t="s">
        <v>134</v>
      </c>
      <c r="C21" s="56">
        <v>1955</v>
      </c>
      <c r="D21" s="12">
        <v>17071</v>
      </c>
      <c r="E21" s="12" t="s">
        <v>355</v>
      </c>
      <c r="F21" s="4">
        <f>16+19+19+18+16</f>
        <v>88</v>
      </c>
      <c r="G21" s="4">
        <f>18+20+18+18+18</f>
        <v>92</v>
      </c>
      <c r="H21" s="4">
        <f>20+19+20+18+20</f>
        <v>97</v>
      </c>
      <c r="I21" s="4">
        <f>20+20+19+17+20</f>
        <v>96</v>
      </c>
      <c r="J21" s="4">
        <f>17+17+18+19+18</f>
        <v>89</v>
      </c>
      <c r="K21" s="4">
        <f>18+18+20+19+20</f>
        <v>95</v>
      </c>
      <c r="L21" s="9">
        <f t="shared" si="1"/>
        <v>557</v>
      </c>
      <c r="M21" s="57" t="s">
        <v>266</v>
      </c>
      <c r="N21" s="66">
        <f t="shared" si="2"/>
        <v>373</v>
      </c>
    </row>
    <row r="22" spans="1:14" s="1" customFormat="1" ht="12.75">
      <c r="A22" s="5" t="s">
        <v>25</v>
      </c>
      <c r="B22" s="366" t="s">
        <v>344</v>
      </c>
      <c r="C22" s="369">
        <v>1975</v>
      </c>
      <c r="D22" s="4">
        <v>23672</v>
      </c>
      <c r="E22" s="109" t="s">
        <v>349</v>
      </c>
      <c r="F22" s="4">
        <v>93</v>
      </c>
      <c r="G22" s="4">
        <v>92</v>
      </c>
      <c r="H22" s="4">
        <v>89</v>
      </c>
      <c r="I22" s="4">
        <f>18+20+19+19+18</f>
        <v>94</v>
      </c>
      <c r="J22" s="4">
        <f>18+18+19+19+20</f>
        <v>94</v>
      </c>
      <c r="K22" s="4">
        <f>19+18+16+19+20</f>
        <v>92</v>
      </c>
      <c r="L22" s="9">
        <f t="shared" si="1"/>
        <v>554</v>
      </c>
      <c r="M22" s="57" t="s">
        <v>266</v>
      </c>
      <c r="N22" s="66">
        <f t="shared" si="2"/>
        <v>368</v>
      </c>
    </row>
    <row r="23" spans="1:14" s="1" customFormat="1" ht="12.75">
      <c r="A23" s="5" t="s">
        <v>26</v>
      </c>
      <c r="B23" s="137" t="s">
        <v>129</v>
      </c>
      <c r="C23" s="55">
        <v>1935</v>
      </c>
      <c r="D23" s="4">
        <v>1794</v>
      </c>
      <c r="E23" s="4" t="s">
        <v>348</v>
      </c>
      <c r="F23" s="4">
        <v>90</v>
      </c>
      <c r="G23" s="4">
        <v>92</v>
      </c>
      <c r="H23" s="4">
        <v>92</v>
      </c>
      <c r="I23" s="4">
        <v>90</v>
      </c>
      <c r="J23" s="4">
        <v>93</v>
      </c>
      <c r="K23" s="4">
        <v>92</v>
      </c>
      <c r="L23" s="9">
        <f t="shared" si="1"/>
        <v>549</v>
      </c>
      <c r="M23" s="57" t="s">
        <v>427</v>
      </c>
      <c r="N23" s="66">
        <f t="shared" si="2"/>
        <v>364</v>
      </c>
    </row>
    <row r="24" spans="1:14" s="1" customFormat="1" ht="12.75">
      <c r="A24" s="5" t="s">
        <v>27</v>
      </c>
      <c r="B24" s="137" t="s">
        <v>96</v>
      </c>
      <c r="C24" s="55">
        <v>1992</v>
      </c>
      <c r="D24" s="160">
        <v>35409</v>
      </c>
      <c r="E24" s="56" t="s">
        <v>98</v>
      </c>
      <c r="F24" s="4">
        <v>93</v>
      </c>
      <c r="G24" s="4">
        <v>88</v>
      </c>
      <c r="H24" s="4">
        <v>93</v>
      </c>
      <c r="I24" s="4">
        <v>93</v>
      </c>
      <c r="J24" s="4">
        <v>90</v>
      </c>
      <c r="K24" s="4">
        <v>91</v>
      </c>
      <c r="L24" s="9">
        <f t="shared" si="1"/>
        <v>548</v>
      </c>
      <c r="M24" s="57" t="s">
        <v>265</v>
      </c>
      <c r="N24" s="66">
        <f t="shared" si="2"/>
        <v>367</v>
      </c>
    </row>
    <row r="25" spans="1:14" s="1" customFormat="1" ht="12.75">
      <c r="A25" s="5" t="s">
        <v>28</v>
      </c>
      <c r="B25" s="367" t="s">
        <v>297</v>
      </c>
      <c r="C25" s="109">
        <v>1969</v>
      </c>
      <c r="D25" s="4" t="s">
        <v>350</v>
      </c>
      <c r="E25" s="4" t="s">
        <v>351</v>
      </c>
      <c r="F25" s="4">
        <v>94</v>
      </c>
      <c r="G25" s="4">
        <v>88</v>
      </c>
      <c r="H25" s="4">
        <v>84</v>
      </c>
      <c r="I25" s="4">
        <f>15+17+20+17+19</f>
        <v>88</v>
      </c>
      <c r="J25" s="4">
        <f>19+19+18+19+19</f>
        <v>94</v>
      </c>
      <c r="K25" s="4">
        <f>17+20+19+19+19</f>
        <v>94</v>
      </c>
      <c r="L25" s="9">
        <f t="shared" si="1"/>
        <v>542</v>
      </c>
      <c r="M25" s="57" t="s">
        <v>265</v>
      </c>
      <c r="N25" s="66">
        <f t="shared" si="2"/>
        <v>354</v>
      </c>
    </row>
    <row r="26" spans="1:14" s="1" customFormat="1" ht="12.75">
      <c r="A26" s="5" t="s">
        <v>29</v>
      </c>
      <c r="B26" s="137" t="s">
        <v>159</v>
      </c>
      <c r="C26" s="55">
        <v>1972</v>
      </c>
      <c r="D26" s="4">
        <v>37828</v>
      </c>
      <c r="E26" s="4" t="s">
        <v>152</v>
      </c>
      <c r="F26" s="4">
        <f>19+16+19+17+18</f>
        <v>89</v>
      </c>
      <c r="G26" s="4">
        <f>17+20+17+19+18</f>
        <v>91</v>
      </c>
      <c r="H26" s="4">
        <f>18+18+18+19+19</f>
        <v>92</v>
      </c>
      <c r="I26" s="4">
        <f>19+18+20+19+14</f>
        <v>90</v>
      </c>
      <c r="J26" s="4">
        <f>17+18+18+16+18</f>
        <v>87</v>
      </c>
      <c r="K26" s="4">
        <f>18+18+18+19+19</f>
        <v>92</v>
      </c>
      <c r="L26" s="9">
        <f t="shared" si="1"/>
        <v>541</v>
      </c>
      <c r="M26" s="57" t="s">
        <v>265</v>
      </c>
      <c r="N26" s="66">
        <f t="shared" si="2"/>
        <v>362</v>
      </c>
    </row>
    <row r="27" spans="1:14" s="1" customFormat="1" ht="12.75">
      <c r="A27" s="5" t="s">
        <v>30</v>
      </c>
      <c r="B27" s="137" t="s">
        <v>49</v>
      </c>
      <c r="C27" s="55">
        <v>1954</v>
      </c>
      <c r="D27" s="4">
        <v>17785</v>
      </c>
      <c r="E27" s="4" t="s">
        <v>97</v>
      </c>
      <c r="F27" s="4">
        <v>91</v>
      </c>
      <c r="G27" s="4">
        <v>88</v>
      </c>
      <c r="H27" s="4">
        <f>19+19+17+18+18</f>
        <v>91</v>
      </c>
      <c r="I27" s="4">
        <f>18+19+15+18+18</f>
        <v>88</v>
      </c>
      <c r="J27" s="4">
        <f>19+18+20+17+17</f>
        <v>91</v>
      </c>
      <c r="K27" s="4">
        <f>17+19+18+18+19</f>
        <v>91</v>
      </c>
      <c r="L27" s="9">
        <f t="shared" si="1"/>
        <v>540</v>
      </c>
      <c r="M27" s="57" t="s">
        <v>266</v>
      </c>
      <c r="N27" s="66">
        <f t="shared" si="2"/>
        <v>358</v>
      </c>
    </row>
    <row r="28" spans="1:14" s="1" customFormat="1" ht="12.75">
      <c r="A28" s="5" t="s">
        <v>31</v>
      </c>
      <c r="B28" s="137" t="s">
        <v>48</v>
      </c>
      <c r="C28" s="55">
        <v>1976</v>
      </c>
      <c r="D28" s="203">
        <v>32462</v>
      </c>
      <c r="E28" s="12" t="s">
        <v>97</v>
      </c>
      <c r="F28" s="4">
        <f>19+18+17+16+18</f>
        <v>88</v>
      </c>
      <c r="G28" s="4">
        <f>18+18+18+17+18</f>
        <v>89</v>
      </c>
      <c r="H28" s="4">
        <f>17+17+16+19+20</f>
        <v>89</v>
      </c>
      <c r="I28" s="4">
        <f>20+19+17+18+15</f>
        <v>89</v>
      </c>
      <c r="J28" s="4">
        <f>19+16+20+20+19</f>
        <v>94</v>
      </c>
      <c r="K28" s="4">
        <f>20+17+17+18+18</f>
        <v>90</v>
      </c>
      <c r="L28" s="9">
        <f t="shared" si="1"/>
        <v>539</v>
      </c>
      <c r="M28" s="57" t="s">
        <v>265</v>
      </c>
      <c r="N28" s="66">
        <f t="shared" si="2"/>
        <v>355</v>
      </c>
    </row>
    <row r="29" spans="1:14" s="1" customFormat="1" ht="12.75">
      <c r="A29" s="5" t="s">
        <v>32</v>
      </c>
      <c r="B29" s="159" t="s">
        <v>51</v>
      </c>
      <c r="C29" s="4">
        <v>1940</v>
      </c>
      <c r="D29" s="4" t="s">
        <v>456</v>
      </c>
      <c r="E29" s="107" t="s">
        <v>341</v>
      </c>
      <c r="F29" s="107">
        <f>19+18+19+16+16</f>
        <v>88</v>
      </c>
      <c r="G29" s="4">
        <f>18+18+16+18+18</f>
        <v>88</v>
      </c>
      <c r="H29" s="4">
        <f>18+17+19+16+18</f>
        <v>88</v>
      </c>
      <c r="I29" s="4">
        <f>18+18+17+20+18</f>
        <v>91</v>
      </c>
      <c r="J29" s="4">
        <f>19+13+17+18+18</f>
        <v>85</v>
      </c>
      <c r="K29" s="4">
        <f>20+18+19+17+19</f>
        <v>93</v>
      </c>
      <c r="L29" s="9">
        <f t="shared" si="1"/>
        <v>533</v>
      </c>
      <c r="M29" s="57" t="s">
        <v>462</v>
      </c>
      <c r="N29" s="66">
        <f t="shared" si="2"/>
        <v>355</v>
      </c>
    </row>
    <row r="30" spans="1:14" s="1" customFormat="1" ht="12.75">
      <c r="A30" s="5" t="s">
        <v>33</v>
      </c>
      <c r="B30" s="137" t="s">
        <v>148</v>
      </c>
      <c r="C30" s="55">
        <v>1978</v>
      </c>
      <c r="D30" s="4" t="s">
        <v>353</v>
      </c>
      <c r="E30" s="4" t="s">
        <v>354</v>
      </c>
      <c r="F30" s="4">
        <f>17+16+18+18+17</f>
        <v>86</v>
      </c>
      <c r="G30" s="4">
        <f>18+17+16+16+19</f>
        <v>86</v>
      </c>
      <c r="H30" s="4">
        <f>16+17+16+18+18</f>
        <v>85</v>
      </c>
      <c r="I30" s="4">
        <f>18+17+19+18+18</f>
        <v>90</v>
      </c>
      <c r="J30" s="4">
        <f>18+18+15+18+16</f>
        <v>85</v>
      </c>
      <c r="K30" s="4">
        <f>17+19+16+14+18</f>
        <v>84</v>
      </c>
      <c r="L30" s="9">
        <f t="shared" si="1"/>
        <v>516</v>
      </c>
      <c r="M30" s="57"/>
      <c r="N30" s="66">
        <f t="shared" si="2"/>
        <v>347</v>
      </c>
    </row>
    <row r="31" spans="1:14" s="1" customFormat="1" ht="12.75">
      <c r="A31" s="5" t="s">
        <v>34</v>
      </c>
      <c r="B31" s="365" t="s">
        <v>50</v>
      </c>
      <c r="C31" s="109">
        <v>1977</v>
      </c>
      <c r="D31" s="109">
        <v>31241</v>
      </c>
      <c r="E31" s="107" t="s">
        <v>97</v>
      </c>
      <c r="F31" s="4">
        <v>84</v>
      </c>
      <c r="G31" s="4">
        <v>80</v>
      </c>
      <c r="H31" s="4">
        <v>91</v>
      </c>
      <c r="I31" s="4">
        <v>89</v>
      </c>
      <c r="J31" s="4">
        <f>16+15+16+19+15</f>
        <v>81</v>
      </c>
      <c r="K31" s="4">
        <f>19+14+20+13+18</f>
        <v>84</v>
      </c>
      <c r="L31" s="9">
        <f t="shared" si="1"/>
        <v>509</v>
      </c>
      <c r="M31" s="57"/>
      <c r="N31" s="66">
        <f t="shared" si="2"/>
        <v>344</v>
      </c>
    </row>
    <row r="32" spans="1:14" s="1" customFormat="1" ht="12.75">
      <c r="A32" s="5" t="s">
        <v>35</v>
      </c>
      <c r="B32" s="367" t="s">
        <v>175</v>
      </c>
      <c r="C32" s="109">
        <v>1971</v>
      </c>
      <c r="D32" s="4" t="s">
        <v>340</v>
      </c>
      <c r="E32" s="4" t="s">
        <v>341</v>
      </c>
      <c r="F32" s="4">
        <v>72</v>
      </c>
      <c r="G32" s="4">
        <v>81</v>
      </c>
      <c r="H32" s="4">
        <v>73</v>
      </c>
      <c r="I32" s="4">
        <v>85</v>
      </c>
      <c r="J32" s="4">
        <v>81</v>
      </c>
      <c r="K32" s="4">
        <v>82</v>
      </c>
      <c r="L32" s="9">
        <f t="shared" si="1"/>
        <v>474</v>
      </c>
      <c r="M32" s="57"/>
      <c r="N32" s="66">
        <f t="shared" si="2"/>
        <v>311</v>
      </c>
    </row>
    <row r="33" spans="1:14" s="1" customFormat="1" ht="24.75" customHeight="1">
      <c r="A33" s="6" t="s">
        <v>21</v>
      </c>
      <c r="B33" s="7"/>
      <c r="C33" s="8"/>
      <c r="D33" s="8"/>
      <c r="E33" s="8"/>
      <c r="F33" s="7"/>
      <c r="G33" s="7"/>
      <c r="H33" s="7"/>
      <c r="I33" s="7"/>
      <c r="J33" s="7"/>
      <c r="K33" s="7"/>
      <c r="L33" s="7"/>
      <c r="M33" s="58"/>
      <c r="N33" s="66"/>
    </row>
    <row r="34" spans="1:14" s="1" customFormat="1" ht="25.5" customHeight="1">
      <c r="A34" s="2" t="s">
        <v>8</v>
      </c>
      <c r="B34" s="18" t="s">
        <v>17</v>
      </c>
      <c r="C34" s="18" t="s">
        <v>11</v>
      </c>
      <c r="D34" s="18" t="s">
        <v>12</v>
      </c>
      <c r="E34" s="18" t="s">
        <v>13</v>
      </c>
      <c r="F34" s="507" t="s">
        <v>14</v>
      </c>
      <c r="G34" s="507"/>
      <c r="H34" s="507" t="s">
        <v>15</v>
      </c>
      <c r="I34" s="507"/>
      <c r="J34" s="507" t="s">
        <v>16</v>
      </c>
      <c r="K34" s="507"/>
      <c r="L34" s="17" t="s">
        <v>10</v>
      </c>
      <c r="M34" s="59"/>
      <c r="N34" s="66"/>
    </row>
    <row r="35" spans="1:14" s="1" customFormat="1" ht="15">
      <c r="A35" s="5" t="s">
        <v>22</v>
      </c>
      <c r="B35" s="385" t="s">
        <v>364</v>
      </c>
      <c r="C35" s="58" t="s">
        <v>362</v>
      </c>
      <c r="D35" s="57" t="s">
        <v>361</v>
      </c>
      <c r="E35" s="386" t="s">
        <v>363</v>
      </c>
      <c r="F35" s="503">
        <v>378</v>
      </c>
      <c r="G35" s="503"/>
      <c r="H35" s="503">
        <v>379</v>
      </c>
      <c r="I35" s="503"/>
      <c r="J35" s="503">
        <v>368</v>
      </c>
      <c r="K35" s="503"/>
      <c r="L35" s="328">
        <f>SUM(F35:K35)</f>
        <v>1125</v>
      </c>
      <c r="M35" s="57"/>
      <c r="N35" s="66"/>
    </row>
    <row r="36" spans="1:14" s="1" customFormat="1" ht="12.75">
      <c r="A36" s="5" t="s">
        <v>23</v>
      </c>
      <c r="B36" s="389" t="s">
        <v>60</v>
      </c>
      <c r="C36" s="58" t="s">
        <v>461</v>
      </c>
      <c r="D36" s="57" t="s">
        <v>394</v>
      </c>
      <c r="E36" s="386" t="s">
        <v>451</v>
      </c>
      <c r="F36" s="503">
        <v>337</v>
      </c>
      <c r="G36" s="503"/>
      <c r="H36" s="503">
        <v>370</v>
      </c>
      <c r="I36" s="503"/>
      <c r="J36" s="503">
        <v>362</v>
      </c>
      <c r="K36" s="503"/>
      <c r="L36" s="328">
        <f>SUM(F36:K36)</f>
        <v>1069</v>
      </c>
      <c r="M36" s="57"/>
      <c r="N36" s="66"/>
    </row>
    <row r="37" spans="1:14" s="1" customFormat="1" ht="15">
      <c r="A37" s="5" t="s">
        <v>24</v>
      </c>
      <c r="B37" s="387" t="s">
        <v>418</v>
      </c>
      <c r="C37" s="58" t="s">
        <v>367</v>
      </c>
      <c r="D37" s="57" t="s">
        <v>365</v>
      </c>
      <c r="E37" s="386" t="s">
        <v>366</v>
      </c>
      <c r="F37" s="503">
        <v>358</v>
      </c>
      <c r="G37" s="503"/>
      <c r="H37" s="503">
        <v>355</v>
      </c>
      <c r="I37" s="503"/>
      <c r="J37" s="503">
        <v>355</v>
      </c>
      <c r="K37" s="503"/>
      <c r="L37" s="328">
        <f>SUM(F37:K37)</f>
        <v>1068</v>
      </c>
      <c r="M37" s="57"/>
      <c r="N37" s="66"/>
    </row>
    <row r="38" spans="1:14" s="1" customFormat="1" ht="15">
      <c r="A38" s="5" t="s">
        <v>25</v>
      </c>
      <c r="B38" s="145" t="s">
        <v>354</v>
      </c>
      <c r="C38" s="107" t="s">
        <v>374</v>
      </c>
      <c r="D38" s="107" t="s">
        <v>375</v>
      </c>
      <c r="E38" s="12"/>
      <c r="F38" s="504">
        <v>347</v>
      </c>
      <c r="G38" s="504"/>
      <c r="H38" s="504">
        <v>312</v>
      </c>
      <c r="I38" s="504"/>
      <c r="J38" s="504"/>
      <c r="K38" s="504"/>
      <c r="L38" s="9">
        <f>SUM(F38:K38)</f>
        <v>659</v>
      </c>
      <c r="M38" s="57"/>
      <c r="N38" s="66"/>
    </row>
    <row r="39" spans="1:14" s="1" customFormat="1" ht="12.75">
      <c r="A39" s="5"/>
      <c r="E39" s="28" t="s">
        <v>94</v>
      </c>
      <c r="M39" s="57"/>
      <c r="N39" s="66"/>
    </row>
    <row r="40" spans="3:14" s="1" customFormat="1" ht="12.75">
      <c r="C40" s="4"/>
      <c r="D40" s="4"/>
      <c r="E40" s="28" t="s">
        <v>95</v>
      </c>
      <c r="F40" s="4"/>
      <c r="G40" s="4"/>
      <c r="H40" s="4"/>
      <c r="I40" s="4"/>
      <c r="J40" s="4"/>
      <c r="K40" s="4"/>
      <c r="L40" s="4"/>
      <c r="M40" s="57"/>
      <c r="N40" s="66"/>
    </row>
    <row r="41" spans="3:14" s="1" customFormat="1" ht="12.75">
      <c r="C41" s="4"/>
      <c r="D41" s="4"/>
      <c r="E41" s="4"/>
      <c r="F41" s="4"/>
      <c r="G41" s="4"/>
      <c r="H41" s="4"/>
      <c r="I41" s="4"/>
      <c r="J41" s="4"/>
      <c r="K41" s="4"/>
      <c r="L41" s="4"/>
      <c r="M41" s="57"/>
      <c r="N41" s="66"/>
    </row>
    <row r="42" spans="3:14" s="1" customFormat="1" ht="12.75">
      <c r="C42" s="4"/>
      <c r="D42" s="4"/>
      <c r="E42" s="4"/>
      <c r="F42" s="4"/>
      <c r="G42" s="4"/>
      <c r="H42" s="4"/>
      <c r="I42" s="4"/>
      <c r="J42" s="4"/>
      <c r="K42" s="4"/>
      <c r="L42" s="4"/>
      <c r="M42" s="57"/>
      <c r="N42" s="66"/>
    </row>
    <row r="43" spans="3:14" s="1" customFormat="1" ht="12.75">
      <c r="C43" s="4"/>
      <c r="D43" s="4"/>
      <c r="E43" s="4"/>
      <c r="F43" s="4"/>
      <c r="G43" s="4"/>
      <c r="H43" s="4"/>
      <c r="I43" s="4"/>
      <c r="J43" s="4"/>
      <c r="K43" s="4"/>
      <c r="L43" s="4"/>
      <c r="M43" s="57"/>
      <c r="N43" s="66"/>
    </row>
    <row r="44" spans="3:14" s="1" customFormat="1" ht="12.75">
      <c r="C44" s="4"/>
      <c r="D44" s="4"/>
      <c r="E44" s="4"/>
      <c r="F44" s="4"/>
      <c r="G44" s="4"/>
      <c r="H44" s="4"/>
      <c r="I44" s="4"/>
      <c r="J44" s="4"/>
      <c r="K44" s="4"/>
      <c r="L44" s="4"/>
      <c r="M44" s="57"/>
      <c r="N44" s="66"/>
    </row>
    <row r="45" spans="3:14" s="1" customFormat="1" ht="12.75">
      <c r="C45" s="4"/>
      <c r="D45" s="4"/>
      <c r="F45" s="4"/>
      <c r="G45" s="4"/>
      <c r="H45" s="4"/>
      <c r="I45" s="4"/>
      <c r="J45" s="4"/>
      <c r="K45" s="4"/>
      <c r="L45" s="4"/>
      <c r="M45" s="57"/>
      <c r="N45" s="66"/>
    </row>
    <row r="46" spans="3:14" s="1" customFormat="1" ht="12.75">
      <c r="C46" s="4"/>
      <c r="D46" s="4"/>
      <c r="F46" s="4"/>
      <c r="G46" s="4"/>
      <c r="H46" s="4"/>
      <c r="I46" s="4"/>
      <c r="J46" s="4"/>
      <c r="K46" s="4"/>
      <c r="L46" s="4"/>
      <c r="M46" s="57"/>
      <c r="N46" s="66"/>
    </row>
    <row r="47" spans="3:14" s="1" customFormat="1" ht="12.75">
      <c r="C47" s="4"/>
      <c r="D47" s="4"/>
      <c r="E47" s="4"/>
      <c r="F47" s="4"/>
      <c r="G47" s="4"/>
      <c r="H47" s="4"/>
      <c r="I47" s="4"/>
      <c r="J47" s="4"/>
      <c r="K47" s="4"/>
      <c r="L47" s="4"/>
      <c r="M47" s="57"/>
      <c r="N47" s="66"/>
    </row>
    <row r="48" spans="3:14" s="1" customFormat="1" ht="12.75">
      <c r="C48" s="4"/>
      <c r="D48" s="4"/>
      <c r="E48" s="4"/>
      <c r="F48" s="4"/>
      <c r="G48" s="4"/>
      <c r="H48" s="4"/>
      <c r="I48" s="4"/>
      <c r="J48" s="4"/>
      <c r="K48" s="4"/>
      <c r="L48" s="4"/>
      <c r="M48" s="57"/>
      <c r="N48" s="66"/>
    </row>
    <row r="49" spans="3:14" s="1" customFormat="1" ht="12.75">
      <c r="C49" s="4"/>
      <c r="D49" s="4"/>
      <c r="E49" s="4"/>
      <c r="F49" s="4"/>
      <c r="G49" s="4"/>
      <c r="H49" s="4"/>
      <c r="I49" s="4"/>
      <c r="J49" s="4"/>
      <c r="K49" s="4"/>
      <c r="L49" s="4"/>
      <c r="M49" s="57"/>
      <c r="N49" s="66"/>
    </row>
    <row r="50" spans="3:14" s="1" customFormat="1" ht="12.75">
      <c r="C50" s="4"/>
      <c r="D50" s="4"/>
      <c r="E50" s="4"/>
      <c r="F50" s="4"/>
      <c r="G50" s="4"/>
      <c r="H50" s="4"/>
      <c r="I50" s="4"/>
      <c r="J50" s="4"/>
      <c r="K50" s="4"/>
      <c r="L50" s="4"/>
      <c r="M50" s="57"/>
      <c r="N50" s="66"/>
    </row>
    <row r="51" spans="3:14" s="1" customFormat="1" ht="12.75">
      <c r="C51" s="4"/>
      <c r="D51" s="4"/>
      <c r="E51" s="4"/>
      <c r="F51" s="4"/>
      <c r="G51" s="4"/>
      <c r="H51" s="4"/>
      <c r="I51" s="4"/>
      <c r="J51" s="4"/>
      <c r="K51" s="4"/>
      <c r="L51" s="4"/>
      <c r="M51" s="57"/>
      <c r="N51" s="66"/>
    </row>
    <row r="52" spans="3:14" s="1" customFormat="1" ht="12.75">
      <c r="C52" s="4"/>
      <c r="D52" s="4"/>
      <c r="E52" s="4"/>
      <c r="F52" s="4"/>
      <c r="G52" s="4"/>
      <c r="H52" s="4"/>
      <c r="I52" s="4"/>
      <c r="J52" s="4"/>
      <c r="K52" s="4"/>
      <c r="L52" s="4"/>
      <c r="M52" s="57"/>
      <c r="N52" s="66"/>
    </row>
    <row r="53" spans="3:14" s="1" customFormat="1" ht="12.75">
      <c r="C53" s="4"/>
      <c r="D53" s="4"/>
      <c r="E53" s="4"/>
      <c r="F53" s="4"/>
      <c r="G53" s="4"/>
      <c r="H53" s="4"/>
      <c r="I53" s="4"/>
      <c r="J53" s="4"/>
      <c r="K53" s="4"/>
      <c r="L53" s="4"/>
      <c r="M53" s="57"/>
      <c r="N53" s="66"/>
    </row>
    <row r="54" spans="3:14" s="1" customFormat="1" ht="12.75">
      <c r="C54" s="4"/>
      <c r="D54" s="4"/>
      <c r="E54" s="4"/>
      <c r="F54" s="4"/>
      <c r="G54" s="4"/>
      <c r="H54" s="4"/>
      <c r="I54" s="4"/>
      <c r="J54" s="4"/>
      <c r="K54" s="4"/>
      <c r="L54" s="4"/>
      <c r="M54" s="57"/>
      <c r="N54" s="66"/>
    </row>
    <row r="55" spans="3:14" s="1" customFormat="1" ht="12.75">
      <c r="C55" s="4"/>
      <c r="D55" s="4"/>
      <c r="E55" s="4"/>
      <c r="F55" s="4"/>
      <c r="G55" s="4"/>
      <c r="H55" s="4"/>
      <c r="I55" s="4"/>
      <c r="J55" s="4"/>
      <c r="K55" s="4"/>
      <c r="L55" s="4"/>
      <c r="M55" s="57"/>
      <c r="N55" s="66"/>
    </row>
    <row r="56" spans="3:14" s="1" customFormat="1" ht="12.75">
      <c r="C56" s="4"/>
      <c r="D56" s="4"/>
      <c r="E56" s="4"/>
      <c r="F56" s="4"/>
      <c r="G56" s="4"/>
      <c r="H56" s="4"/>
      <c r="I56" s="4"/>
      <c r="J56" s="4"/>
      <c r="K56" s="4"/>
      <c r="L56" s="4"/>
      <c r="M56" s="57"/>
      <c r="N56" s="66"/>
    </row>
    <row r="57" spans="3:14" s="1" customFormat="1" ht="12.75">
      <c r="C57" s="4"/>
      <c r="D57" s="4"/>
      <c r="E57" s="4"/>
      <c r="F57" s="4"/>
      <c r="G57" s="4"/>
      <c r="H57" s="4"/>
      <c r="I57" s="4"/>
      <c r="J57" s="4"/>
      <c r="K57" s="4"/>
      <c r="L57" s="4"/>
      <c r="M57" s="57"/>
      <c r="N57" s="66"/>
    </row>
    <row r="58" spans="3:14" s="1" customFormat="1" ht="12.75">
      <c r="C58" s="4"/>
      <c r="D58" s="4"/>
      <c r="E58" s="4"/>
      <c r="F58" s="4"/>
      <c r="G58" s="4"/>
      <c r="H58" s="4"/>
      <c r="I58" s="4"/>
      <c r="J58" s="4"/>
      <c r="K58" s="4"/>
      <c r="L58" s="4"/>
      <c r="M58" s="57"/>
      <c r="N58" s="66"/>
    </row>
    <row r="59" spans="3:14" s="1" customFormat="1" ht="12.75">
      <c r="C59" s="4"/>
      <c r="D59" s="4"/>
      <c r="E59" s="4"/>
      <c r="F59" s="4"/>
      <c r="G59" s="4"/>
      <c r="H59" s="4"/>
      <c r="I59" s="4"/>
      <c r="J59" s="4"/>
      <c r="K59" s="4"/>
      <c r="L59" s="4"/>
      <c r="M59" s="57"/>
      <c r="N59" s="66"/>
    </row>
    <row r="60" spans="3:14" s="1" customFormat="1" ht="12.75">
      <c r="C60" s="4"/>
      <c r="D60" s="4"/>
      <c r="E60" s="4"/>
      <c r="F60" s="4"/>
      <c r="G60" s="4"/>
      <c r="H60" s="4"/>
      <c r="I60" s="4"/>
      <c r="J60" s="4"/>
      <c r="K60" s="4"/>
      <c r="L60" s="4"/>
      <c r="M60" s="57"/>
      <c r="N60" s="66"/>
    </row>
    <row r="61" spans="3:14" s="1" customFormat="1" ht="12.75">
      <c r="C61" s="4"/>
      <c r="D61" s="4"/>
      <c r="E61" s="4"/>
      <c r="F61" s="4"/>
      <c r="G61" s="4"/>
      <c r="H61" s="4"/>
      <c r="I61" s="4"/>
      <c r="J61" s="4"/>
      <c r="K61" s="4"/>
      <c r="L61" s="4"/>
      <c r="M61" s="57"/>
      <c r="N61" s="66"/>
    </row>
    <row r="62" spans="3:14" s="1" customFormat="1" ht="12.75">
      <c r="C62" s="4"/>
      <c r="D62" s="4"/>
      <c r="E62" s="4"/>
      <c r="F62" s="4"/>
      <c r="G62" s="4"/>
      <c r="H62" s="4"/>
      <c r="I62" s="4"/>
      <c r="J62" s="4"/>
      <c r="K62" s="4"/>
      <c r="L62" s="4"/>
      <c r="M62" s="57"/>
      <c r="N62" s="66"/>
    </row>
    <row r="63" spans="3:14" s="1" customFormat="1" ht="12.75">
      <c r="C63" s="4"/>
      <c r="D63" s="4"/>
      <c r="E63" s="4"/>
      <c r="F63" s="4"/>
      <c r="G63" s="4"/>
      <c r="H63" s="4"/>
      <c r="I63" s="4"/>
      <c r="J63" s="4"/>
      <c r="K63" s="4"/>
      <c r="L63" s="4"/>
      <c r="M63" s="57"/>
      <c r="N63" s="66"/>
    </row>
    <row r="64" spans="3:14" s="1" customFormat="1" ht="12.75">
      <c r="C64" s="4"/>
      <c r="D64" s="4"/>
      <c r="E64" s="4"/>
      <c r="F64" s="4"/>
      <c r="G64" s="4"/>
      <c r="H64" s="4"/>
      <c r="I64" s="4"/>
      <c r="J64" s="4"/>
      <c r="K64" s="4"/>
      <c r="L64" s="4"/>
      <c r="M64" s="57"/>
      <c r="N64" s="66"/>
    </row>
    <row r="65" spans="3:14" s="1" customFormat="1" ht="12.75">
      <c r="C65" s="4"/>
      <c r="D65" s="4"/>
      <c r="E65" s="4"/>
      <c r="F65" s="4"/>
      <c r="G65" s="4"/>
      <c r="H65" s="4"/>
      <c r="I65" s="4"/>
      <c r="J65" s="4"/>
      <c r="K65" s="4"/>
      <c r="L65" s="4"/>
      <c r="M65" s="57"/>
      <c r="N65" s="66"/>
    </row>
    <row r="66" spans="3:14" s="1" customFormat="1" ht="12.75">
      <c r="C66" s="4"/>
      <c r="D66" s="4"/>
      <c r="E66" s="4"/>
      <c r="F66" s="4"/>
      <c r="G66" s="4"/>
      <c r="H66" s="4"/>
      <c r="I66" s="4"/>
      <c r="J66" s="4"/>
      <c r="K66" s="4"/>
      <c r="L66" s="4"/>
      <c r="M66" s="57"/>
      <c r="N66" s="66"/>
    </row>
    <row r="67" spans="3:14" s="1" customFormat="1" ht="12.75">
      <c r="C67" s="4"/>
      <c r="D67" s="4"/>
      <c r="E67" s="4"/>
      <c r="F67" s="4"/>
      <c r="G67" s="4"/>
      <c r="H67" s="4"/>
      <c r="I67" s="4"/>
      <c r="J67" s="4"/>
      <c r="K67" s="4"/>
      <c r="L67" s="4"/>
      <c r="M67" s="57"/>
      <c r="N67" s="66"/>
    </row>
    <row r="68" spans="3:14" s="1" customFormat="1" ht="12.75">
      <c r="C68" s="4"/>
      <c r="D68" s="4"/>
      <c r="E68" s="4"/>
      <c r="F68" s="4"/>
      <c r="G68" s="4"/>
      <c r="H68" s="4"/>
      <c r="I68" s="4"/>
      <c r="J68" s="4"/>
      <c r="K68" s="4"/>
      <c r="L68" s="4"/>
      <c r="M68" s="57"/>
      <c r="N68" s="66"/>
    </row>
    <row r="69" spans="3:14" s="1" customFormat="1" ht="12.75">
      <c r="C69" s="4"/>
      <c r="D69" s="4"/>
      <c r="E69" s="4"/>
      <c r="F69" s="4"/>
      <c r="G69" s="4"/>
      <c r="H69" s="4"/>
      <c r="I69" s="4"/>
      <c r="J69" s="4"/>
      <c r="K69" s="4"/>
      <c r="L69" s="4"/>
      <c r="M69" s="57"/>
      <c r="N69" s="66"/>
    </row>
    <row r="70" spans="3:14" s="1" customFormat="1" ht="12.75">
      <c r="C70" s="4"/>
      <c r="D70" s="4"/>
      <c r="E70" s="4"/>
      <c r="F70" s="4"/>
      <c r="G70" s="4"/>
      <c r="H70" s="4"/>
      <c r="I70" s="4"/>
      <c r="J70" s="4"/>
      <c r="K70" s="4"/>
      <c r="L70" s="4"/>
      <c r="M70" s="57"/>
      <c r="N70" s="66"/>
    </row>
    <row r="71" spans="3:14" s="1" customFormat="1" ht="12.75">
      <c r="C71" s="4"/>
      <c r="D71" s="4"/>
      <c r="E71" s="4"/>
      <c r="F71" s="4"/>
      <c r="G71" s="4"/>
      <c r="H71" s="4"/>
      <c r="I71" s="4"/>
      <c r="J71" s="4"/>
      <c r="K71" s="4"/>
      <c r="L71" s="4"/>
      <c r="M71" s="57"/>
      <c r="N71" s="66"/>
    </row>
    <row r="72" spans="3:14" s="1" customFormat="1" ht="12.75">
      <c r="C72" s="4"/>
      <c r="D72" s="4"/>
      <c r="E72" s="4"/>
      <c r="F72" s="4"/>
      <c r="G72" s="4"/>
      <c r="H72" s="4"/>
      <c r="I72" s="4"/>
      <c r="J72" s="4"/>
      <c r="K72" s="4"/>
      <c r="L72" s="4"/>
      <c r="M72" s="57"/>
      <c r="N72" s="66"/>
    </row>
    <row r="73" spans="3:14" s="1" customFormat="1" ht="12.75">
      <c r="C73" s="4"/>
      <c r="D73" s="4"/>
      <c r="E73" s="4"/>
      <c r="F73" s="4"/>
      <c r="G73" s="4"/>
      <c r="H73" s="4"/>
      <c r="I73" s="4"/>
      <c r="J73" s="4"/>
      <c r="K73" s="4"/>
      <c r="L73" s="4"/>
      <c r="M73" s="57"/>
      <c r="N73" s="66"/>
    </row>
    <row r="74" spans="3:14" s="1" customFormat="1" ht="12.75">
      <c r="C74" s="4"/>
      <c r="D74" s="4"/>
      <c r="E74" s="4"/>
      <c r="F74" s="4"/>
      <c r="G74" s="4"/>
      <c r="H74" s="4"/>
      <c r="I74" s="4"/>
      <c r="J74" s="4"/>
      <c r="K74" s="4"/>
      <c r="L74" s="4"/>
      <c r="M74" s="57"/>
      <c r="N74" s="66"/>
    </row>
    <row r="75" spans="3:14" s="1" customFormat="1" ht="12.75">
      <c r="C75" s="4"/>
      <c r="D75" s="4"/>
      <c r="E75" s="4"/>
      <c r="F75" s="4"/>
      <c r="G75" s="4"/>
      <c r="H75" s="4"/>
      <c r="I75" s="4"/>
      <c r="J75" s="4"/>
      <c r="K75" s="4"/>
      <c r="L75" s="4"/>
      <c r="M75" s="57"/>
      <c r="N75" s="66"/>
    </row>
    <row r="76" spans="3:14" s="1" customFormat="1" ht="12.75">
      <c r="C76" s="4"/>
      <c r="D76" s="4"/>
      <c r="E76" s="4"/>
      <c r="F76" s="4"/>
      <c r="G76" s="4"/>
      <c r="H76" s="4"/>
      <c r="I76" s="4"/>
      <c r="J76" s="4"/>
      <c r="K76" s="4"/>
      <c r="L76" s="4"/>
      <c r="M76" s="57"/>
      <c r="N76" s="66"/>
    </row>
    <row r="77" spans="3:14" s="1" customFormat="1" ht="12.75">
      <c r="C77" s="4"/>
      <c r="D77" s="4"/>
      <c r="E77" s="4"/>
      <c r="F77" s="4"/>
      <c r="G77" s="4"/>
      <c r="H77" s="4"/>
      <c r="I77" s="4"/>
      <c r="J77" s="4"/>
      <c r="K77" s="4"/>
      <c r="L77" s="4"/>
      <c r="M77" s="57"/>
      <c r="N77" s="66"/>
    </row>
    <row r="78" spans="3:14" s="1" customFormat="1" ht="12.75">
      <c r="C78" s="4"/>
      <c r="D78" s="4"/>
      <c r="E78" s="4"/>
      <c r="F78" s="4"/>
      <c r="G78" s="4"/>
      <c r="H78" s="4"/>
      <c r="I78" s="4"/>
      <c r="J78" s="4"/>
      <c r="K78" s="4"/>
      <c r="L78" s="4"/>
      <c r="M78" s="57"/>
      <c r="N78" s="66"/>
    </row>
    <row r="79" spans="3:14" s="1" customFormat="1" ht="12.75">
      <c r="C79" s="4"/>
      <c r="D79" s="4"/>
      <c r="E79" s="4"/>
      <c r="F79" s="4"/>
      <c r="G79" s="4"/>
      <c r="H79" s="4"/>
      <c r="I79" s="4"/>
      <c r="J79" s="4"/>
      <c r="K79" s="4"/>
      <c r="L79" s="4"/>
      <c r="M79" s="57"/>
      <c r="N79" s="66"/>
    </row>
    <row r="80" spans="3:14" s="1" customFormat="1" ht="12.75">
      <c r="C80" s="4"/>
      <c r="D80" s="4"/>
      <c r="E80" s="4"/>
      <c r="F80" s="4"/>
      <c r="G80" s="4"/>
      <c r="H80" s="4"/>
      <c r="I80" s="4"/>
      <c r="J80" s="4"/>
      <c r="K80" s="4"/>
      <c r="L80" s="4"/>
      <c r="M80" s="57"/>
      <c r="N80" s="66"/>
    </row>
    <row r="81" spans="3:14" s="1" customFormat="1" ht="12.75">
      <c r="C81" s="4"/>
      <c r="D81" s="4"/>
      <c r="E81" s="4"/>
      <c r="F81" s="4"/>
      <c r="G81" s="4"/>
      <c r="H81" s="4"/>
      <c r="I81" s="4"/>
      <c r="J81" s="4"/>
      <c r="K81" s="4"/>
      <c r="L81" s="4"/>
      <c r="M81" s="57"/>
      <c r="N81" s="66"/>
    </row>
    <row r="82" spans="3:14" s="1" customFormat="1" ht="12.75">
      <c r="C82" s="4"/>
      <c r="D82" s="4"/>
      <c r="E82" s="4"/>
      <c r="F82" s="4"/>
      <c r="G82" s="4"/>
      <c r="H82" s="4"/>
      <c r="I82" s="4"/>
      <c r="J82" s="4"/>
      <c r="K82" s="4"/>
      <c r="L82" s="4"/>
      <c r="M82" s="57"/>
      <c r="N82" s="66"/>
    </row>
    <row r="83" spans="3:14" s="1" customFormat="1" ht="12.75">
      <c r="C83" s="4"/>
      <c r="D83" s="4"/>
      <c r="E83" s="4"/>
      <c r="F83" s="4"/>
      <c r="G83" s="4"/>
      <c r="H83" s="4"/>
      <c r="I83" s="4"/>
      <c r="J83" s="4"/>
      <c r="K83" s="4"/>
      <c r="L83" s="4"/>
      <c r="M83" s="57"/>
      <c r="N83" s="66"/>
    </row>
    <row r="84" spans="3:14" s="1" customFormat="1" ht="12.75">
      <c r="C84" s="4"/>
      <c r="D84" s="4"/>
      <c r="E84" s="4"/>
      <c r="F84" s="4"/>
      <c r="G84" s="4"/>
      <c r="H84" s="4"/>
      <c r="I84" s="4"/>
      <c r="J84" s="4"/>
      <c r="K84" s="4"/>
      <c r="L84" s="4"/>
      <c r="M84" s="57"/>
      <c r="N84" s="66"/>
    </row>
    <row r="85" spans="3:14" s="1" customFormat="1" ht="12.75">
      <c r="C85" s="4"/>
      <c r="D85" s="4"/>
      <c r="E85" s="4"/>
      <c r="F85" s="4"/>
      <c r="G85" s="4"/>
      <c r="H85" s="4"/>
      <c r="I85" s="4"/>
      <c r="J85" s="4"/>
      <c r="K85" s="4"/>
      <c r="L85" s="4"/>
      <c r="M85" s="57"/>
      <c r="N85" s="66"/>
    </row>
    <row r="86" spans="3:14" s="1" customFormat="1" ht="12.75">
      <c r="C86" s="4"/>
      <c r="D86" s="4"/>
      <c r="E86" s="4"/>
      <c r="F86" s="4"/>
      <c r="G86" s="4"/>
      <c r="H86" s="4"/>
      <c r="I86" s="4"/>
      <c r="J86" s="4"/>
      <c r="K86" s="4"/>
      <c r="L86" s="4"/>
      <c r="M86" s="57"/>
      <c r="N86" s="66"/>
    </row>
    <row r="87" spans="3:14" s="1" customFormat="1" ht="12.75">
      <c r="C87" s="4"/>
      <c r="D87" s="4"/>
      <c r="E87" s="4"/>
      <c r="F87" s="4"/>
      <c r="G87" s="4"/>
      <c r="H87" s="4"/>
      <c r="I87" s="4"/>
      <c r="J87" s="4"/>
      <c r="K87" s="4"/>
      <c r="L87" s="4"/>
      <c r="M87" s="57"/>
      <c r="N87" s="66"/>
    </row>
    <row r="88" spans="3:14" s="1" customFormat="1" ht="12.75">
      <c r="C88" s="4"/>
      <c r="D88" s="4"/>
      <c r="E88" s="4"/>
      <c r="F88" s="4"/>
      <c r="G88" s="4"/>
      <c r="H88" s="4"/>
      <c r="I88" s="4"/>
      <c r="J88" s="4"/>
      <c r="K88" s="4"/>
      <c r="L88" s="4"/>
      <c r="M88" s="57"/>
      <c r="N88" s="66"/>
    </row>
    <row r="89" spans="3:14" s="1" customFormat="1" ht="12.75">
      <c r="C89" s="4"/>
      <c r="D89" s="4"/>
      <c r="E89" s="4"/>
      <c r="F89" s="4"/>
      <c r="G89" s="4"/>
      <c r="H89" s="4"/>
      <c r="I89" s="4"/>
      <c r="J89" s="4"/>
      <c r="K89" s="4"/>
      <c r="L89" s="4"/>
      <c r="M89" s="57"/>
      <c r="N89" s="66"/>
    </row>
    <row r="90" spans="3:14" s="1" customFormat="1" ht="12.75">
      <c r="C90" s="4"/>
      <c r="D90" s="4"/>
      <c r="E90" s="4"/>
      <c r="F90" s="4"/>
      <c r="G90" s="4"/>
      <c r="H90" s="4"/>
      <c r="I90" s="4"/>
      <c r="J90" s="4"/>
      <c r="K90" s="4"/>
      <c r="L90" s="4"/>
      <c r="M90" s="57"/>
      <c r="N90" s="66"/>
    </row>
    <row r="91" spans="3:14" s="1" customFormat="1" ht="12.75">
      <c r="C91" s="4"/>
      <c r="D91" s="4"/>
      <c r="E91" s="4"/>
      <c r="F91" s="4"/>
      <c r="G91" s="4"/>
      <c r="H91" s="4"/>
      <c r="I91" s="4"/>
      <c r="J91" s="4"/>
      <c r="K91" s="4"/>
      <c r="L91" s="4"/>
      <c r="M91" s="57"/>
      <c r="N91" s="66"/>
    </row>
    <row r="92" spans="3:14" s="1" customFormat="1" ht="12.75">
      <c r="C92" s="4"/>
      <c r="D92" s="4"/>
      <c r="E92" s="4"/>
      <c r="F92" s="4"/>
      <c r="G92" s="4"/>
      <c r="H92" s="4"/>
      <c r="I92" s="4"/>
      <c r="J92" s="4"/>
      <c r="K92" s="4"/>
      <c r="L92" s="4"/>
      <c r="M92" s="57"/>
      <c r="N92" s="66"/>
    </row>
    <row r="93" spans="3:14" s="1" customFormat="1" ht="12.75">
      <c r="C93" s="4"/>
      <c r="D93" s="4"/>
      <c r="E93" s="4"/>
      <c r="F93" s="4"/>
      <c r="G93" s="4"/>
      <c r="H93" s="4"/>
      <c r="I93" s="4"/>
      <c r="J93" s="4"/>
      <c r="K93" s="4"/>
      <c r="L93" s="4"/>
      <c r="M93" s="57"/>
      <c r="N93" s="66"/>
    </row>
    <row r="94" spans="3:14" s="1" customFormat="1" ht="12.75">
      <c r="C94" s="4"/>
      <c r="D94" s="4"/>
      <c r="E94" s="4"/>
      <c r="F94" s="4"/>
      <c r="G94" s="4"/>
      <c r="H94" s="4"/>
      <c r="I94" s="4"/>
      <c r="J94" s="4"/>
      <c r="K94" s="4"/>
      <c r="L94" s="4"/>
      <c r="M94" s="57"/>
      <c r="N94" s="66"/>
    </row>
    <row r="95" spans="3:14" s="1" customFormat="1" ht="12.75">
      <c r="C95" s="4"/>
      <c r="D95" s="4"/>
      <c r="E95" s="4"/>
      <c r="F95" s="4"/>
      <c r="G95" s="4"/>
      <c r="H95" s="4"/>
      <c r="I95" s="4"/>
      <c r="J95" s="4"/>
      <c r="K95" s="4"/>
      <c r="L95" s="4"/>
      <c r="M95" s="57"/>
      <c r="N95" s="66"/>
    </row>
    <row r="96" spans="3:14" s="1" customFormat="1" ht="12.75">
      <c r="C96" s="4"/>
      <c r="D96" s="4"/>
      <c r="E96" s="4"/>
      <c r="F96" s="4"/>
      <c r="G96" s="4"/>
      <c r="H96" s="4"/>
      <c r="I96" s="4"/>
      <c r="J96" s="4"/>
      <c r="K96" s="4"/>
      <c r="L96" s="4"/>
      <c r="M96" s="57"/>
      <c r="N96" s="66"/>
    </row>
    <row r="97" spans="3:14" s="1" customFormat="1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57"/>
      <c r="N97" s="66"/>
    </row>
    <row r="98" spans="3:14" s="1" customFormat="1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57"/>
      <c r="N98" s="66"/>
    </row>
    <row r="99" spans="3:14" s="1" customFormat="1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57"/>
      <c r="N99" s="66"/>
    </row>
    <row r="100" spans="3:14" s="1" customFormat="1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7"/>
      <c r="N100" s="66"/>
    </row>
    <row r="101" spans="3:14" s="1" customFormat="1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57"/>
      <c r="N101" s="66"/>
    </row>
    <row r="102" spans="3:14" s="1" customFormat="1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57"/>
      <c r="N102" s="66"/>
    </row>
    <row r="103" spans="3:14" s="1" customFormat="1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57"/>
      <c r="N103" s="66"/>
    </row>
    <row r="104" spans="3:14" s="1" customFormat="1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57"/>
      <c r="N104" s="66"/>
    </row>
    <row r="105" spans="3:14" s="1" customFormat="1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57"/>
      <c r="N105" s="66"/>
    </row>
    <row r="106" spans="3:14" s="1" customFormat="1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57"/>
      <c r="N106" s="66"/>
    </row>
    <row r="107" spans="3:14" s="1" customFormat="1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57"/>
      <c r="N107" s="66"/>
    </row>
    <row r="108" spans="3:14" s="1" customFormat="1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57"/>
      <c r="N108" s="66"/>
    </row>
    <row r="109" spans="3:14" s="1" customFormat="1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57"/>
      <c r="N109" s="66"/>
    </row>
    <row r="110" spans="3:14" s="1" customFormat="1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57"/>
      <c r="N110" s="66"/>
    </row>
    <row r="111" spans="3:14" s="1" customFormat="1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57"/>
      <c r="N111" s="66"/>
    </row>
    <row r="112" spans="3:14" s="1" customFormat="1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57"/>
      <c r="N112" s="66"/>
    </row>
    <row r="113" spans="3:14" s="1" customFormat="1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57"/>
      <c r="N113" s="66"/>
    </row>
    <row r="114" spans="3:14" s="1" customFormat="1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57"/>
      <c r="N114" s="66"/>
    </row>
    <row r="115" spans="3:14" s="1" customFormat="1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57"/>
      <c r="N115" s="66"/>
    </row>
    <row r="116" spans="3:14" s="1" customFormat="1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57"/>
      <c r="N116" s="66"/>
    </row>
    <row r="117" spans="3:14" s="1" customFormat="1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57"/>
      <c r="N117" s="66"/>
    </row>
    <row r="118" spans="3:14" s="1" customFormat="1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57"/>
      <c r="N118" s="66"/>
    </row>
    <row r="119" spans="3:14" s="1" customFormat="1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57"/>
      <c r="N119" s="66"/>
    </row>
    <row r="120" spans="3:14" s="1" customFormat="1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57"/>
      <c r="N120" s="66"/>
    </row>
    <row r="121" spans="3:14" s="1" customFormat="1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57"/>
      <c r="N121" s="66"/>
    </row>
    <row r="122" spans="3:14" s="1" customFormat="1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57"/>
      <c r="N122" s="66"/>
    </row>
    <row r="123" spans="3:14" s="1" customFormat="1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57"/>
      <c r="N123" s="66"/>
    </row>
    <row r="124" spans="3:14" s="1" customFormat="1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57"/>
      <c r="N124" s="66"/>
    </row>
    <row r="125" spans="3:14" s="1" customFormat="1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57"/>
      <c r="N125" s="66"/>
    </row>
    <row r="126" spans="3:14" s="1" customFormat="1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57"/>
      <c r="N126" s="66"/>
    </row>
    <row r="127" spans="3:14" s="1" customFormat="1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57"/>
      <c r="N127" s="66"/>
    </row>
    <row r="128" spans="3:14" s="1" customFormat="1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57"/>
      <c r="N128" s="66"/>
    </row>
    <row r="129" spans="3:14" s="1" customFormat="1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57"/>
      <c r="N129" s="66"/>
    </row>
    <row r="130" spans="3:14" s="1" customFormat="1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57"/>
      <c r="N130" s="66"/>
    </row>
    <row r="131" spans="3:14" s="1" customFormat="1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57"/>
      <c r="N131" s="66"/>
    </row>
    <row r="132" spans="3:14" s="1" customFormat="1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57"/>
      <c r="N132" s="66"/>
    </row>
    <row r="133" spans="3:14" s="1" customFormat="1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57"/>
      <c r="N133" s="66"/>
    </row>
    <row r="134" spans="3:14" s="1" customFormat="1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57"/>
      <c r="N134" s="66"/>
    </row>
    <row r="135" spans="3:14" s="1" customFormat="1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57"/>
      <c r="N135" s="66"/>
    </row>
    <row r="136" spans="3:14" s="1" customFormat="1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57"/>
      <c r="N136" s="66"/>
    </row>
    <row r="137" spans="3:14" s="1" customFormat="1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57"/>
      <c r="N137" s="66"/>
    </row>
    <row r="138" spans="3:14" s="1" customFormat="1" ht="12.7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57"/>
      <c r="N138" s="66"/>
    </row>
    <row r="139" spans="3:14" s="1" customFormat="1" ht="12.7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57"/>
      <c r="N139" s="66"/>
    </row>
    <row r="140" spans="3:14" s="1" customFormat="1" ht="12.7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57"/>
      <c r="N140" s="66"/>
    </row>
    <row r="141" spans="3:14" s="1" customFormat="1" ht="12.7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57"/>
      <c r="N141" s="66"/>
    </row>
  </sheetData>
  <sheetProtection/>
  <mergeCells count="17">
    <mergeCell ref="J37:K37"/>
    <mergeCell ref="F38:G38"/>
    <mergeCell ref="H38:I38"/>
    <mergeCell ref="J38:K38"/>
    <mergeCell ref="F37:G37"/>
    <mergeCell ref="H37:I37"/>
    <mergeCell ref="F36:G36"/>
    <mergeCell ref="H36:I36"/>
    <mergeCell ref="J36:K36"/>
    <mergeCell ref="J34:K34"/>
    <mergeCell ref="F35:G35"/>
    <mergeCell ref="H35:I35"/>
    <mergeCell ref="J35:K35"/>
    <mergeCell ref="A1:M1"/>
    <mergeCell ref="C4:D4"/>
    <mergeCell ref="F34:G34"/>
    <mergeCell ref="H34:I34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O145"/>
  <sheetViews>
    <sheetView zoomScale="80" zoomScaleNormal="80" zoomScalePageLayoutView="0" workbookViewId="0" topLeftCell="A28">
      <selection activeCell="C40" sqref="C40:E40"/>
    </sheetView>
  </sheetViews>
  <sheetFormatPr defaultColWidth="9.140625" defaultRowHeight="12.75"/>
  <cols>
    <col min="1" max="1" width="7.00390625" style="0" customWidth="1"/>
    <col min="2" max="2" width="21.57421875" style="0" customWidth="1"/>
    <col min="3" max="5" width="17.7109375" style="3" customWidth="1"/>
    <col min="6" max="11" width="4.7109375" style="3" customWidth="1"/>
    <col min="12" max="12" width="8.7109375" style="3" customWidth="1"/>
    <col min="13" max="13" width="5.28125" style="50" customWidth="1"/>
    <col min="14" max="14" width="9.140625" style="76" customWidth="1"/>
  </cols>
  <sheetData>
    <row r="1" spans="1:13" ht="16.5" customHeight="1">
      <c r="A1" s="505" t="s">
        <v>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</row>
    <row r="2" spans="1:13" ht="30" customHeight="1">
      <c r="A2" s="23"/>
      <c r="B2" s="24"/>
      <c r="C2" s="25"/>
      <c r="D2" s="26" t="s">
        <v>18</v>
      </c>
      <c r="E2" s="25"/>
      <c r="F2" s="24"/>
      <c r="G2" s="24"/>
      <c r="H2" s="24"/>
      <c r="I2" s="24"/>
      <c r="J2" s="24"/>
      <c r="K2" s="24"/>
      <c r="L2" s="24"/>
      <c r="M2" s="65"/>
    </row>
    <row r="3" spans="1:8" ht="16.5" customHeight="1">
      <c r="A3" s="10" t="s">
        <v>29</v>
      </c>
      <c r="B3" s="11" t="s">
        <v>323</v>
      </c>
      <c r="C3" s="11"/>
      <c r="D3" s="11"/>
      <c r="E3" s="11"/>
      <c r="F3" s="11"/>
      <c r="G3" s="11"/>
      <c r="H3" s="11"/>
    </row>
    <row r="4" spans="1:5" ht="15.75">
      <c r="A4" s="19" t="s">
        <v>1</v>
      </c>
      <c r="B4" s="20"/>
      <c r="C4" s="506" t="s">
        <v>333</v>
      </c>
      <c r="D4" s="506"/>
      <c r="E4" s="21"/>
    </row>
    <row r="5" spans="1:5" ht="15.75">
      <c r="A5" s="19" t="s">
        <v>2</v>
      </c>
      <c r="B5" s="20"/>
      <c r="C5" s="22" t="s">
        <v>4</v>
      </c>
      <c r="D5" s="21"/>
      <c r="E5" s="21"/>
    </row>
    <row r="6" spans="1:5" ht="15.75">
      <c r="A6" s="19" t="s">
        <v>3</v>
      </c>
      <c r="B6" s="20"/>
      <c r="C6" s="22" t="s">
        <v>45</v>
      </c>
      <c r="D6" s="21"/>
      <c r="E6" s="21"/>
    </row>
    <row r="7" spans="3:14" s="1" customFormat="1" ht="12.75">
      <c r="C7" s="4"/>
      <c r="D7" s="4"/>
      <c r="E7" s="4"/>
      <c r="F7" s="4"/>
      <c r="G7" s="4"/>
      <c r="H7" s="4"/>
      <c r="I7" s="4"/>
      <c r="J7" s="4"/>
      <c r="K7" s="4"/>
      <c r="L7" s="4"/>
      <c r="M7" s="57"/>
      <c r="N7" s="66"/>
    </row>
    <row r="8" spans="1:14" s="1" customFormat="1" ht="12.75" customHeight="1">
      <c r="A8" s="6" t="s">
        <v>19</v>
      </c>
      <c r="B8" s="7"/>
      <c r="C8" s="8"/>
      <c r="D8" s="8"/>
      <c r="E8" s="8"/>
      <c r="F8" s="7"/>
      <c r="G8" s="7"/>
      <c r="H8" s="7"/>
      <c r="I8" s="7"/>
      <c r="J8" s="7"/>
      <c r="K8" s="7"/>
      <c r="L8" s="7"/>
      <c r="M8" s="58"/>
      <c r="N8" s="66"/>
    </row>
    <row r="9" spans="1:14" s="1" customFormat="1" ht="25.5" customHeight="1">
      <c r="A9" s="2" t="s">
        <v>8</v>
      </c>
      <c r="B9" s="18" t="s">
        <v>9</v>
      </c>
      <c r="C9" s="18" t="s">
        <v>5</v>
      </c>
      <c r="D9" s="18" t="s">
        <v>6</v>
      </c>
      <c r="E9" s="18" t="s">
        <v>7</v>
      </c>
      <c r="F9" s="2" t="s">
        <v>38</v>
      </c>
      <c r="G9" s="2" t="s">
        <v>39</v>
      </c>
      <c r="H9" s="2" t="s">
        <v>40</v>
      </c>
      <c r="I9" s="2" t="s">
        <v>41</v>
      </c>
      <c r="J9" s="2" t="s">
        <v>42</v>
      </c>
      <c r="K9" s="2" t="s">
        <v>43</v>
      </c>
      <c r="L9" s="17" t="s">
        <v>10</v>
      </c>
      <c r="M9" s="59" t="s">
        <v>44</v>
      </c>
      <c r="N9" s="471" t="s">
        <v>505</v>
      </c>
    </row>
    <row r="10" spans="1:14" s="1" customFormat="1" ht="12.75">
      <c r="A10" s="5" t="s">
        <v>22</v>
      </c>
      <c r="B10" s="137" t="s">
        <v>61</v>
      </c>
      <c r="C10" s="55">
        <v>1958</v>
      </c>
      <c r="D10" s="373">
        <v>4061</v>
      </c>
      <c r="E10" s="55" t="s">
        <v>152</v>
      </c>
      <c r="F10" s="12">
        <v>93</v>
      </c>
      <c r="G10" s="12">
        <v>89</v>
      </c>
      <c r="H10" s="12">
        <v>91</v>
      </c>
      <c r="I10" s="12">
        <v>92</v>
      </c>
      <c r="J10" s="12"/>
      <c r="K10" s="12"/>
      <c r="L10" s="9">
        <f aca="true" t="shared" si="0" ref="L10:L16">SUM(F10:K10)</f>
        <v>365</v>
      </c>
      <c r="M10" s="60" t="s">
        <v>266</v>
      </c>
      <c r="N10" s="66"/>
    </row>
    <row r="11" spans="1:14" s="1" customFormat="1" ht="12.75">
      <c r="A11" s="5" t="s">
        <v>23</v>
      </c>
      <c r="B11" s="137" t="s">
        <v>156</v>
      </c>
      <c r="C11" s="55">
        <v>1990</v>
      </c>
      <c r="D11" s="155" t="s">
        <v>417</v>
      </c>
      <c r="E11" s="110" t="s">
        <v>97</v>
      </c>
      <c r="F11" s="12">
        <v>87</v>
      </c>
      <c r="G11" s="12">
        <v>85</v>
      </c>
      <c r="H11" s="12">
        <v>83</v>
      </c>
      <c r="I11" s="12">
        <v>86</v>
      </c>
      <c r="J11" s="12"/>
      <c r="K11" s="12"/>
      <c r="L11" s="9">
        <f t="shared" si="0"/>
        <v>341</v>
      </c>
      <c r="M11" s="60" t="s">
        <v>265</v>
      </c>
      <c r="N11" s="66"/>
    </row>
    <row r="12" spans="1:14" s="1" customFormat="1" ht="14.25">
      <c r="A12" s="5" t="s">
        <v>24</v>
      </c>
      <c r="B12" s="377" t="s">
        <v>159</v>
      </c>
      <c r="C12" s="87">
        <v>1994</v>
      </c>
      <c r="D12" s="12">
        <v>37964</v>
      </c>
      <c r="E12" s="56" t="s">
        <v>152</v>
      </c>
      <c r="F12" s="12">
        <v>74</v>
      </c>
      <c r="G12" s="12">
        <v>90</v>
      </c>
      <c r="H12" s="12">
        <v>82</v>
      </c>
      <c r="I12" s="12">
        <v>86</v>
      </c>
      <c r="J12" s="12"/>
      <c r="K12" s="12"/>
      <c r="L12" s="9">
        <f t="shared" si="0"/>
        <v>332</v>
      </c>
      <c r="M12" s="60" t="s">
        <v>265</v>
      </c>
      <c r="N12" s="66"/>
    </row>
    <row r="13" spans="1:14" s="1" customFormat="1" ht="12.75">
      <c r="A13" s="5" t="s">
        <v>25</v>
      </c>
      <c r="B13" s="200" t="s">
        <v>422</v>
      </c>
      <c r="C13" s="108">
        <v>1994</v>
      </c>
      <c r="D13" s="201" t="s">
        <v>423</v>
      </c>
      <c r="E13" s="108" t="s">
        <v>349</v>
      </c>
      <c r="F13" s="12">
        <v>74</v>
      </c>
      <c r="G13" s="12">
        <v>84</v>
      </c>
      <c r="H13" s="12">
        <v>71</v>
      </c>
      <c r="I13" s="12">
        <v>88</v>
      </c>
      <c r="J13" s="12"/>
      <c r="K13" s="12"/>
      <c r="L13" s="9">
        <f t="shared" si="0"/>
        <v>317</v>
      </c>
      <c r="M13" s="60"/>
      <c r="N13" s="66"/>
    </row>
    <row r="14" spans="1:14" s="1" customFormat="1" ht="12.75">
      <c r="A14" s="5" t="s">
        <v>26</v>
      </c>
      <c r="B14" s="365" t="s">
        <v>259</v>
      </c>
      <c r="C14" s="109">
        <v>1994</v>
      </c>
      <c r="D14" s="109">
        <v>31673</v>
      </c>
      <c r="E14" s="109" t="s">
        <v>352</v>
      </c>
      <c r="F14" s="12">
        <v>76</v>
      </c>
      <c r="G14" s="12">
        <v>75</v>
      </c>
      <c r="H14" s="12">
        <v>81</v>
      </c>
      <c r="I14" s="12">
        <v>83</v>
      </c>
      <c r="J14" s="12"/>
      <c r="K14" s="12"/>
      <c r="L14" s="9">
        <f t="shared" si="0"/>
        <v>315</v>
      </c>
      <c r="M14" s="60"/>
      <c r="N14" s="66"/>
    </row>
    <row r="15" spans="1:14" s="1" customFormat="1" ht="12.75">
      <c r="A15" s="5" t="s">
        <v>27</v>
      </c>
      <c r="B15" s="13" t="s">
        <v>388</v>
      </c>
      <c r="C15" s="12">
        <v>1996</v>
      </c>
      <c r="D15" s="12">
        <v>37862</v>
      </c>
      <c r="E15" s="109" t="s">
        <v>349</v>
      </c>
      <c r="F15" s="12">
        <v>71</v>
      </c>
      <c r="G15" s="12">
        <v>73</v>
      </c>
      <c r="H15" s="12">
        <v>80</v>
      </c>
      <c r="I15" s="12">
        <v>82</v>
      </c>
      <c r="J15" s="12"/>
      <c r="K15" s="12"/>
      <c r="L15" s="9">
        <f t="shared" si="0"/>
        <v>306</v>
      </c>
      <c r="M15" s="60"/>
      <c r="N15" s="66"/>
    </row>
    <row r="16" spans="1:14" s="1" customFormat="1" ht="12.75">
      <c r="A16" s="5" t="s">
        <v>28</v>
      </c>
      <c r="B16" s="377" t="s">
        <v>435</v>
      </c>
      <c r="C16" s="417">
        <v>1996</v>
      </c>
      <c r="D16" s="417" t="s">
        <v>436</v>
      </c>
      <c r="E16" s="55" t="s">
        <v>341</v>
      </c>
      <c r="F16" s="12">
        <v>71</v>
      </c>
      <c r="G16" s="12">
        <v>68</v>
      </c>
      <c r="H16" s="12">
        <v>65</v>
      </c>
      <c r="I16" s="12">
        <v>75</v>
      </c>
      <c r="J16" s="12"/>
      <c r="K16" s="12"/>
      <c r="L16" s="9">
        <f t="shared" si="0"/>
        <v>279</v>
      </c>
      <c r="M16" s="60"/>
      <c r="N16" s="66"/>
    </row>
    <row r="17" spans="1:14" s="1" customFormat="1" ht="12.75">
      <c r="A17" s="5"/>
      <c r="B17" s="377"/>
      <c r="C17" s="417"/>
      <c r="D17" s="417"/>
      <c r="E17" s="417"/>
      <c r="F17" s="12"/>
      <c r="G17" s="12"/>
      <c r="H17" s="12"/>
      <c r="I17" s="12"/>
      <c r="J17" s="12"/>
      <c r="K17" s="12"/>
      <c r="L17" s="9"/>
      <c r="M17" s="60"/>
      <c r="N17" s="66"/>
    </row>
    <row r="18" spans="1:14" s="1" customFormat="1" ht="24.75" customHeight="1">
      <c r="A18" s="6" t="s">
        <v>20</v>
      </c>
      <c r="B18" s="7"/>
      <c r="C18" s="8"/>
      <c r="D18" s="8"/>
      <c r="E18" s="8"/>
      <c r="F18" s="7"/>
      <c r="G18" s="7"/>
      <c r="H18" s="7"/>
      <c r="I18" s="7"/>
      <c r="J18" s="7"/>
      <c r="K18" s="7"/>
      <c r="L18" s="7"/>
      <c r="M18" s="58"/>
      <c r="N18" s="66"/>
    </row>
    <row r="19" spans="1:15" s="1" customFormat="1" ht="25.5" customHeight="1">
      <c r="A19" s="2" t="s">
        <v>8</v>
      </c>
      <c r="B19" s="18" t="s">
        <v>9</v>
      </c>
      <c r="C19" s="18" t="s">
        <v>5</v>
      </c>
      <c r="D19" s="18" t="s">
        <v>6</v>
      </c>
      <c r="E19" s="18" t="s">
        <v>7</v>
      </c>
      <c r="F19" s="2" t="s">
        <v>38</v>
      </c>
      <c r="G19" s="2" t="s">
        <v>39</v>
      </c>
      <c r="H19" s="2" t="s">
        <v>40</v>
      </c>
      <c r="I19" s="2" t="s">
        <v>41</v>
      </c>
      <c r="J19" s="2" t="s">
        <v>42</v>
      </c>
      <c r="K19" s="2" t="s">
        <v>43</v>
      </c>
      <c r="L19" s="17" t="s">
        <v>10</v>
      </c>
      <c r="M19" s="59" t="s">
        <v>44</v>
      </c>
      <c r="N19" s="67" t="s">
        <v>100</v>
      </c>
      <c r="O19" s="471" t="s">
        <v>505</v>
      </c>
    </row>
    <row r="20" spans="1:14" s="1" customFormat="1" ht="12.75">
      <c r="A20" s="5" t="s">
        <v>22</v>
      </c>
      <c r="B20" s="137" t="s">
        <v>284</v>
      </c>
      <c r="C20" s="109">
        <v>1957</v>
      </c>
      <c r="D20" s="4">
        <v>32651</v>
      </c>
      <c r="E20" s="109" t="s">
        <v>349</v>
      </c>
      <c r="F20" s="4">
        <v>94</v>
      </c>
      <c r="G20" s="4">
        <v>95</v>
      </c>
      <c r="H20" s="4">
        <v>92</v>
      </c>
      <c r="I20" s="4">
        <v>94</v>
      </c>
      <c r="J20" s="4">
        <v>97</v>
      </c>
      <c r="K20" s="4">
        <v>95</v>
      </c>
      <c r="L20" s="9">
        <f aca="true" t="shared" si="1" ref="L20:L34">SUM(F20:K20)</f>
        <v>567</v>
      </c>
      <c r="M20" s="57" t="s">
        <v>358</v>
      </c>
      <c r="N20" s="66">
        <f aca="true" t="shared" si="2" ref="N20:N34">SUM(F20:I20)</f>
        <v>375</v>
      </c>
    </row>
    <row r="21" spans="1:14" s="1" customFormat="1" ht="12.75">
      <c r="A21" s="5" t="s">
        <v>23</v>
      </c>
      <c r="B21" s="137" t="s">
        <v>49</v>
      </c>
      <c r="C21" s="55">
        <v>1954</v>
      </c>
      <c r="D21" s="4">
        <v>17785</v>
      </c>
      <c r="E21" s="109" t="s">
        <v>97</v>
      </c>
      <c r="F21" s="4">
        <v>95</v>
      </c>
      <c r="G21" s="4">
        <v>91</v>
      </c>
      <c r="H21" s="4">
        <v>95</v>
      </c>
      <c r="I21" s="4">
        <v>89</v>
      </c>
      <c r="J21" s="4">
        <v>92</v>
      </c>
      <c r="K21" s="4">
        <v>92</v>
      </c>
      <c r="L21" s="9">
        <f t="shared" si="1"/>
        <v>554</v>
      </c>
      <c r="M21" s="57" t="s">
        <v>266</v>
      </c>
      <c r="N21" s="66">
        <f t="shared" si="2"/>
        <v>370</v>
      </c>
    </row>
    <row r="22" spans="1:14" s="1" customFormat="1" ht="12.75">
      <c r="A22" s="5" t="s">
        <v>24</v>
      </c>
      <c r="B22" s="15" t="s">
        <v>108</v>
      </c>
      <c r="C22" s="3">
        <v>1965</v>
      </c>
      <c r="D22" s="70" t="s">
        <v>389</v>
      </c>
      <c r="E22" s="3" t="s">
        <v>283</v>
      </c>
      <c r="F22" s="4">
        <v>93</v>
      </c>
      <c r="G22" s="4">
        <v>87</v>
      </c>
      <c r="H22" s="4">
        <v>93</v>
      </c>
      <c r="I22" s="4">
        <v>95</v>
      </c>
      <c r="J22" s="4">
        <v>89</v>
      </c>
      <c r="K22" s="4">
        <v>91</v>
      </c>
      <c r="L22" s="9">
        <f t="shared" si="1"/>
        <v>548</v>
      </c>
      <c r="M22" s="57" t="s">
        <v>266</v>
      </c>
      <c r="N22" s="66">
        <f t="shared" si="2"/>
        <v>368</v>
      </c>
    </row>
    <row r="23" spans="1:14" s="1" customFormat="1" ht="12.75">
      <c r="A23" s="5" t="s">
        <v>25</v>
      </c>
      <c r="B23" s="137" t="s">
        <v>159</v>
      </c>
      <c r="C23" s="55">
        <v>1972</v>
      </c>
      <c r="D23" s="4">
        <v>37828</v>
      </c>
      <c r="E23" s="109" t="s">
        <v>152</v>
      </c>
      <c r="F23" s="4">
        <v>89</v>
      </c>
      <c r="G23" s="4">
        <v>88</v>
      </c>
      <c r="H23" s="4">
        <v>90</v>
      </c>
      <c r="I23" s="4">
        <v>93</v>
      </c>
      <c r="J23" s="4">
        <v>93</v>
      </c>
      <c r="K23" s="4">
        <v>93</v>
      </c>
      <c r="L23" s="9">
        <f t="shared" si="1"/>
        <v>546</v>
      </c>
      <c r="M23" s="57" t="s">
        <v>265</v>
      </c>
      <c r="N23" s="66">
        <f t="shared" si="2"/>
        <v>360</v>
      </c>
    </row>
    <row r="24" spans="1:15" s="1" customFormat="1" ht="12.75">
      <c r="A24" s="5" t="s">
        <v>26</v>
      </c>
      <c r="B24" s="366" t="s">
        <v>344</v>
      </c>
      <c r="C24" s="369">
        <v>1975</v>
      </c>
      <c r="D24" s="4">
        <v>23672</v>
      </c>
      <c r="E24" s="4" t="s">
        <v>349</v>
      </c>
      <c r="F24" s="4">
        <v>87</v>
      </c>
      <c r="G24" s="4">
        <v>94</v>
      </c>
      <c r="H24" s="4">
        <v>93</v>
      </c>
      <c r="I24" s="4">
        <v>93</v>
      </c>
      <c r="J24" s="4">
        <v>92</v>
      </c>
      <c r="K24" s="4">
        <v>86</v>
      </c>
      <c r="L24" s="9">
        <f t="shared" si="1"/>
        <v>545</v>
      </c>
      <c r="M24" s="57" t="s">
        <v>266</v>
      </c>
      <c r="N24" s="66">
        <f t="shared" si="2"/>
        <v>367</v>
      </c>
      <c r="O24" s="28">
        <v>22</v>
      </c>
    </row>
    <row r="25" spans="1:15" s="1" customFormat="1" ht="12.75">
      <c r="A25" s="5" t="s">
        <v>27</v>
      </c>
      <c r="B25" s="137" t="s">
        <v>96</v>
      </c>
      <c r="C25" s="55">
        <v>1992</v>
      </c>
      <c r="D25" s="160">
        <v>35409</v>
      </c>
      <c r="E25" s="56" t="s">
        <v>98</v>
      </c>
      <c r="F25" s="4">
        <v>91</v>
      </c>
      <c r="G25" s="4">
        <v>95</v>
      </c>
      <c r="H25" s="4">
        <v>91</v>
      </c>
      <c r="I25" s="4">
        <v>87</v>
      </c>
      <c r="J25" s="4">
        <v>90</v>
      </c>
      <c r="K25" s="4">
        <v>91</v>
      </c>
      <c r="L25" s="9">
        <f t="shared" si="1"/>
        <v>545</v>
      </c>
      <c r="M25" s="57" t="s">
        <v>266</v>
      </c>
      <c r="N25" s="66">
        <f t="shared" si="2"/>
        <v>364</v>
      </c>
      <c r="O25" s="28">
        <v>19</v>
      </c>
    </row>
    <row r="26" spans="1:15" s="1" customFormat="1" ht="12.75">
      <c r="A26" s="5" t="s">
        <v>28</v>
      </c>
      <c r="B26" s="137" t="s">
        <v>129</v>
      </c>
      <c r="C26" s="55">
        <v>1935</v>
      </c>
      <c r="D26" s="4">
        <v>1794</v>
      </c>
      <c r="E26" s="4" t="s">
        <v>348</v>
      </c>
      <c r="F26" s="4">
        <v>89</v>
      </c>
      <c r="G26" s="4">
        <v>92</v>
      </c>
      <c r="H26" s="4">
        <v>90</v>
      </c>
      <c r="I26" s="4">
        <v>93</v>
      </c>
      <c r="J26" s="4">
        <v>88</v>
      </c>
      <c r="K26" s="4">
        <v>91</v>
      </c>
      <c r="L26" s="9">
        <f t="shared" si="1"/>
        <v>543</v>
      </c>
      <c r="M26" s="57" t="s">
        <v>266</v>
      </c>
      <c r="N26" s="66">
        <f t="shared" si="2"/>
        <v>364</v>
      </c>
      <c r="O26" s="28">
        <v>22</v>
      </c>
    </row>
    <row r="27" spans="1:15" s="1" customFormat="1" ht="12.75">
      <c r="A27" s="5" t="s">
        <v>29</v>
      </c>
      <c r="B27" s="367" t="s">
        <v>297</v>
      </c>
      <c r="C27" s="109">
        <v>1969</v>
      </c>
      <c r="D27" s="4" t="s">
        <v>350</v>
      </c>
      <c r="E27" s="4" t="s">
        <v>351</v>
      </c>
      <c r="F27" s="4">
        <v>89</v>
      </c>
      <c r="G27" s="4">
        <v>93</v>
      </c>
      <c r="H27" s="4">
        <v>92</v>
      </c>
      <c r="I27" s="4">
        <v>83</v>
      </c>
      <c r="J27" s="4">
        <v>92</v>
      </c>
      <c r="K27" s="4">
        <v>94</v>
      </c>
      <c r="L27" s="9">
        <f t="shared" si="1"/>
        <v>543</v>
      </c>
      <c r="M27" s="57"/>
      <c r="N27" s="66">
        <f t="shared" si="2"/>
        <v>357</v>
      </c>
      <c r="O27" s="28">
        <v>16</v>
      </c>
    </row>
    <row r="28" spans="1:15" s="1" customFormat="1" ht="12.75">
      <c r="A28" s="5" t="s">
        <v>30</v>
      </c>
      <c r="B28" s="137" t="s">
        <v>134</v>
      </c>
      <c r="C28" s="55">
        <v>1955</v>
      </c>
      <c r="D28" s="12">
        <v>17071</v>
      </c>
      <c r="E28" s="12" t="s">
        <v>355</v>
      </c>
      <c r="F28" s="4">
        <v>93</v>
      </c>
      <c r="G28" s="4">
        <v>96</v>
      </c>
      <c r="H28" s="4">
        <v>89</v>
      </c>
      <c r="I28" s="4">
        <v>92</v>
      </c>
      <c r="J28" s="4">
        <v>83</v>
      </c>
      <c r="K28" s="4">
        <v>88</v>
      </c>
      <c r="L28" s="9">
        <f t="shared" si="1"/>
        <v>541</v>
      </c>
      <c r="M28" s="57"/>
      <c r="N28" s="66">
        <f t="shared" si="2"/>
        <v>370</v>
      </c>
      <c r="O28" s="28"/>
    </row>
    <row r="29" spans="1:14" s="1" customFormat="1" ht="12.75">
      <c r="A29" s="5" t="s">
        <v>31</v>
      </c>
      <c r="B29" s="137" t="s">
        <v>48</v>
      </c>
      <c r="C29" s="55">
        <v>1976</v>
      </c>
      <c r="D29" s="203">
        <v>32462</v>
      </c>
      <c r="E29" s="12" t="s">
        <v>97</v>
      </c>
      <c r="F29" s="4">
        <v>90</v>
      </c>
      <c r="G29" s="4">
        <v>89</v>
      </c>
      <c r="H29" s="4">
        <v>87</v>
      </c>
      <c r="I29" s="4">
        <v>91</v>
      </c>
      <c r="J29" s="4">
        <v>92</v>
      </c>
      <c r="K29" s="4">
        <v>89</v>
      </c>
      <c r="L29" s="9">
        <f t="shared" si="1"/>
        <v>538</v>
      </c>
      <c r="M29" s="57"/>
      <c r="N29" s="66">
        <f t="shared" si="2"/>
        <v>357</v>
      </c>
    </row>
    <row r="30" spans="1:14" s="1" customFormat="1" ht="12.75">
      <c r="A30" s="5" t="s">
        <v>32</v>
      </c>
      <c r="B30" s="159" t="s">
        <v>148</v>
      </c>
      <c r="C30" s="56">
        <v>1978</v>
      </c>
      <c r="D30" s="4" t="s">
        <v>353</v>
      </c>
      <c r="E30" s="4" t="s">
        <v>354</v>
      </c>
      <c r="F30" s="4">
        <v>89</v>
      </c>
      <c r="G30" s="4">
        <v>85</v>
      </c>
      <c r="H30" s="4">
        <v>90</v>
      </c>
      <c r="I30" s="4">
        <v>84</v>
      </c>
      <c r="J30" s="4">
        <v>90</v>
      </c>
      <c r="K30" s="4">
        <v>83</v>
      </c>
      <c r="L30" s="9">
        <f t="shared" si="1"/>
        <v>521</v>
      </c>
      <c r="M30" s="57" t="s">
        <v>265</v>
      </c>
      <c r="N30" s="66">
        <f t="shared" si="2"/>
        <v>348</v>
      </c>
    </row>
    <row r="31" spans="1:14" s="1" customFormat="1" ht="12.75">
      <c r="A31" s="5" t="s">
        <v>33</v>
      </c>
      <c r="B31" s="137" t="s">
        <v>141</v>
      </c>
      <c r="C31" s="55">
        <v>1949</v>
      </c>
      <c r="D31" s="4">
        <v>10640</v>
      </c>
      <c r="E31" s="4" t="s">
        <v>342</v>
      </c>
      <c r="F31" s="4">
        <v>83</v>
      </c>
      <c r="G31" s="4">
        <v>88</v>
      </c>
      <c r="H31" s="4">
        <v>88</v>
      </c>
      <c r="I31" s="4">
        <v>93</v>
      </c>
      <c r="J31" s="4">
        <v>85</v>
      </c>
      <c r="K31" s="4">
        <v>79</v>
      </c>
      <c r="L31" s="9">
        <f t="shared" si="1"/>
        <v>516</v>
      </c>
      <c r="M31" s="57" t="s">
        <v>265</v>
      </c>
      <c r="N31" s="66">
        <f t="shared" si="2"/>
        <v>352</v>
      </c>
    </row>
    <row r="32" spans="1:14" s="1" customFormat="1" ht="12.75">
      <c r="A32" s="5" t="s">
        <v>34</v>
      </c>
      <c r="B32" s="137" t="s">
        <v>51</v>
      </c>
      <c r="C32" s="109">
        <v>1940</v>
      </c>
      <c r="D32" s="4" t="s">
        <v>456</v>
      </c>
      <c r="E32" s="107" t="s">
        <v>341</v>
      </c>
      <c r="F32" s="4">
        <v>75</v>
      </c>
      <c r="G32" s="4">
        <v>81</v>
      </c>
      <c r="H32" s="4">
        <v>89</v>
      </c>
      <c r="I32" s="4">
        <v>88</v>
      </c>
      <c r="J32" s="4">
        <v>89</v>
      </c>
      <c r="K32" s="4">
        <v>90</v>
      </c>
      <c r="L32" s="9">
        <f t="shared" si="1"/>
        <v>512</v>
      </c>
      <c r="M32" s="57"/>
      <c r="N32" s="66">
        <f t="shared" si="2"/>
        <v>333</v>
      </c>
    </row>
    <row r="33" spans="1:14" s="1" customFormat="1" ht="12.75">
      <c r="A33" s="5" t="s">
        <v>35</v>
      </c>
      <c r="B33" s="367" t="s">
        <v>175</v>
      </c>
      <c r="C33" s="109">
        <v>1971</v>
      </c>
      <c r="D33" s="4" t="s">
        <v>340</v>
      </c>
      <c r="E33" s="4" t="s">
        <v>341</v>
      </c>
      <c r="F33" s="4">
        <v>91</v>
      </c>
      <c r="G33" s="4">
        <v>78</v>
      </c>
      <c r="H33" s="4">
        <v>82</v>
      </c>
      <c r="I33" s="4">
        <v>85</v>
      </c>
      <c r="J33" s="4">
        <v>86</v>
      </c>
      <c r="K33" s="4">
        <v>84</v>
      </c>
      <c r="L33" s="9">
        <f t="shared" si="1"/>
        <v>506</v>
      </c>
      <c r="M33" s="57"/>
      <c r="N33" s="66">
        <f t="shared" si="2"/>
        <v>336</v>
      </c>
    </row>
    <row r="34" spans="1:14" s="1" customFormat="1" ht="12.75">
      <c r="A34" s="5" t="s">
        <v>36</v>
      </c>
      <c r="B34" s="365" t="s">
        <v>310</v>
      </c>
      <c r="C34" s="109">
        <v>1946</v>
      </c>
      <c r="D34" s="332" t="s">
        <v>286</v>
      </c>
      <c r="E34" s="4" t="s">
        <v>287</v>
      </c>
      <c r="F34" s="4">
        <v>78</v>
      </c>
      <c r="G34" s="4">
        <v>83</v>
      </c>
      <c r="H34" s="4">
        <v>83</v>
      </c>
      <c r="I34" s="4">
        <v>85</v>
      </c>
      <c r="J34" s="4">
        <v>81</v>
      </c>
      <c r="K34" s="4">
        <v>80</v>
      </c>
      <c r="L34" s="9">
        <f t="shared" si="1"/>
        <v>490</v>
      </c>
      <c r="M34" s="57"/>
      <c r="N34" s="66">
        <f t="shared" si="2"/>
        <v>329</v>
      </c>
    </row>
    <row r="35" spans="1:14" s="1" customFormat="1" ht="12.75">
      <c r="A35" s="5"/>
      <c r="B35" s="137"/>
      <c r="C35" s="109"/>
      <c r="D35" s="4"/>
      <c r="E35" s="4"/>
      <c r="F35" s="4"/>
      <c r="G35" s="4"/>
      <c r="H35" s="4"/>
      <c r="I35" s="4"/>
      <c r="J35" s="4"/>
      <c r="K35" s="4"/>
      <c r="L35" s="9"/>
      <c r="M35" s="57"/>
      <c r="N35" s="66"/>
    </row>
    <row r="36" spans="1:14" s="1" customFormat="1" ht="24.75" customHeight="1">
      <c r="A36" s="6" t="s">
        <v>21</v>
      </c>
      <c r="B36" s="7"/>
      <c r="C36" s="8"/>
      <c r="D36" s="8"/>
      <c r="E36" s="8"/>
      <c r="F36" s="7"/>
      <c r="G36" s="7"/>
      <c r="H36" s="7"/>
      <c r="I36" s="7"/>
      <c r="J36" s="7"/>
      <c r="K36" s="7"/>
      <c r="L36" s="7"/>
      <c r="M36" s="58"/>
      <c r="N36" s="66"/>
    </row>
    <row r="37" spans="1:14" s="1" customFormat="1" ht="25.5" customHeight="1">
      <c r="A37" s="2" t="s">
        <v>8</v>
      </c>
      <c r="B37" s="18" t="s">
        <v>17</v>
      </c>
      <c r="C37" s="18" t="s">
        <v>11</v>
      </c>
      <c r="D37" s="18" t="s">
        <v>12</v>
      </c>
      <c r="E37" s="18" t="s">
        <v>13</v>
      </c>
      <c r="F37" s="507" t="s">
        <v>14</v>
      </c>
      <c r="G37" s="507"/>
      <c r="H37" s="507" t="s">
        <v>15</v>
      </c>
      <c r="I37" s="507"/>
      <c r="J37" s="507" t="s">
        <v>16</v>
      </c>
      <c r="K37" s="507"/>
      <c r="L37" s="17" t="s">
        <v>10</v>
      </c>
      <c r="M37" s="59"/>
      <c r="N37" s="66"/>
    </row>
    <row r="38" spans="1:14" s="1" customFormat="1" ht="15">
      <c r="A38" s="5" t="s">
        <v>22</v>
      </c>
      <c r="B38" s="440" t="s">
        <v>418</v>
      </c>
      <c r="C38" s="428" t="s">
        <v>421</v>
      </c>
      <c r="D38" s="429" t="s">
        <v>468</v>
      </c>
      <c r="E38" s="438" t="s">
        <v>365</v>
      </c>
      <c r="F38" s="509">
        <v>341</v>
      </c>
      <c r="G38" s="509"/>
      <c r="H38" s="509">
        <v>370</v>
      </c>
      <c r="I38" s="509"/>
      <c r="J38" s="509">
        <v>357</v>
      </c>
      <c r="K38" s="509"/>
      <c r="L38" s="389">
        <f>SUM(F38:K38)</f>
        <v>1068</v>
      </c>
      <c r="M38" s="57"/>
      <c r="N38" s="66"/>
    </row>
    <row r="39" spans="1:14" s="1" customFormat="1" ht="15">
      <c r="A39" s="5" t="s">
        <v>23</v>
      </c>
      <c r="B39" s="430" t="s">
        <v>364</v>
      </c>
      <c r="C39" s="4" t="s">
        <v>362</v>
      </c>
      <c r="D39" s="4" t="s">
        <v>363</v>
      </c>
      <c r="E39" s="4" t="s">
        <v>465</v>
      </c>
      <c r="F39" s="504">
        <v>375</v>
      </c>
      <c r="G39" s="504"/>
      <c r="H39" s="504">
        <v>367</v>
      </c>
      <c r="I39" s="504"/>
      <c r="J39" s="504">
        <v>317</v>
      </c>
      <c r="K39" s="504"/>
      <c r="L39" s="9">
        <f>SUM(F39:K39)</f>
        <v>1059</v>
      </c>
      <c r="M39" s="57"/>
      <c r="N39" s="66"/>
    </row>
    <row r="40" spans="1:12" ht="12.75">
      <c r="A40" s="5" t="s">
        <v>24</v>
      </c>
      <c r="B40" s="441" t="s">
        <v>60</v>
      </c>
      <c r="C40" s="49" t="s">
        <v>394</v>
      </c>
      <c r="D40" s="57" t="s">
        <v>466</v>
      </c>
      <c r="E40" s="439" t="s">
        <v>467</v>
      </c>
      <c r="F40" s="503">
        <v>365</v>
      </c>
      <c r="G40" s="503"/>
      <c r="H40" s="503">
        <v>360</v>
      </c>
      <c r="I40" s="503"/>
      <c r="J40" s="503">
        <v>332</v>
      </c>
      <c r="K40" s="503"/>
      <c r="L40" s="328">
        <f>SUM(F40:K40)</f>
        <v>1057</v>
      </c>
    </row>
    <row r="41" spans="1:14" s="1" customFormat="1" ht="15">
      <c r="A41" s="5" t="s">
        <v>25</v>
      </c>
      <c r="B41" s="442" t="s">
        <v>354</v>
      </c>
      <c r="C41" s="4" t="s">
        <v>375</v>
      </c>
      <c r="D41" s="4" t="s">
        <v>374</v>
      </c>
      <c r="E41" s="4"/>
      <c r="F41" s="504">
        <v>348</v>
      </c>
      <c r="G41" s="504"/>
      <c r="H41" s="504">
        <v>315</v>
      </c>
      <c r="I41" s="504"/>
      <c r="J41" s="504"/>
      <c r="K41" s="504"/>
      <c r="L41" s="9">
        <f>SUM(F41:K41)</f>
        <v>663</v>
      </c>
      <c r="M41" s="57"/>
      <c r="N41" s="66"/>
    </row>
    <row r="42" spans="1:14" s="1" customFormat="1" ht="12.75">
      <c r="A42" s="5"/>
      <c r="M42" s="57"/>
      <c r="N42" s="66"/>
    </row>
    <row r="43" spans="1:14" s="1" customFormat="1" ht="12.75">
      <c r="A43" s="5"/>
      <c r="E43" s="28" t="s">
        <v>94</v>
      </c>
      <c r="M43" s="57"/>
      <c r="N43" s="66"/>
    </row>
    <row r="44" spans="3:14" s="1" customFormat="1" ht="12.75">
      <c r="C44" s="4"/>
      <c r="D44" s="4"/>
      <c r="E44" s="28" t="s">
        <v>95</v>
      </c>
      <c r="F44" s="4"/>
      <c r="G44" s="4"/>
      <c r="H44" s="4"/>
      <c r="I44" s="4"/>
      <c r="J44" s="4"/>
      <c r="K44" s="4"/>
      <c r="L44" s="4"/>
      <c r="M44" s="57"/>
      <c r="N44" s="66"/>
    </row>
    <row r="45" spans="3:14" s="1" customFormat="1" ht="12.75">
      <c r="C45" s="4"/>
      <c r="D45" s="4"/>
      <c r="E45" s="4"/>
      <c r="F45" s="4"/>
      <c r="G45" s="4"/>
      <c r="H45" s="4"/>
      <c r="I45" s="4"/>
      <c r="J45" s="4"/>
      <c r="K45" s="4"/>
      <c r="L45" s="4"/>
      <c r="M45" s="57"/>
      <c r="N45" s="66"/>
    </row>
    <row r="46" spans="3:14" s="1" customFormat="1" ht="12.75">
      <c r="C46" s="4"/>
      <c r="D46" s="4"/>
      <c r="E46" s="4"/>
      <c r="F46" s="4"/>
      <c r="G46" s="4"/>
      <c r="H46" s="4"/>
      <c r="I46" s="4"/>
      <c r="J46" s="4"/>
      <c r="K46" s="4"/>
      <c r="L46" s="4"/>
      <c r="M46" s="57"/>
      <c r="N46" s="66"/>
    </row>
    <row r="47" spans="3:14" s="1" customFormat="1" ht="12.75">
      <c r="C47" s="4"/>
      <c r="D47" s="4"/>
      <c r="E47" s="4"/>
      <c r="F47" s="4"/>
      <c r="G47" s="4"/>
      <c r="H47" s="4"/>
      <c r="I47" s="4"/>
      <c r="J47" s="4"/>
      <c r="K47" s="4"/>
      <c r="L47" s="4"/>
      <c r="M47" s="57"/>
      <c r="N47" s="66"/>
    </row>
    <row r="48" spans="3:14" s="1" customFormat="1" ht="12.75">
      <c r="C48" s="4"/>
      <c r="D48" s="4"/>
      <c r="E48" s="4"/>
      <c r="F48" s="4"/>
      <c r="G48" s="4"/>
      <c r="H48" s="4"/>
      <c r="I48" s="4"/>
      <c r="J48" s="4"/>
      <c r="K48" s="4"/>
      <c r="L48" s="4"/>
      <c r="M48" s="57"/>
      <c r="N48" s="66"/>
    </row>
    <row r="49" spans="3:14" s="1" customFormat="1" ht="12.75">
      <c r="C49" s="4"/>
      <c r="D49" s="4"/>
      <c r="F49" s="4"/>
      <c r="G49" s="4"/>
      <c r="H49" s="4"/>
      <c r="I49" s="4"/>
      <c r="J49" s="4"/>
      <c r="K49" s="4"/>
      <c r="L49" s="4"/>
      <c r="M49" s="57"/>
      <c r="N49" s="66"/>
    </row>
    <row r="50" spans="3:14" s="1" customFormat="1" ht="12.75">
      <c r="C50" s="4"/>
      <c r="D50" s="4"/>
      <c r="F50" s="4"/>
      <c r="G50" s="4"/>
      <c r="H50" s="4"/>
      <c r="I50" s="4"/>
      <c r="J50" s="4"/>
      <c r="K50" s="4"/>
      <c r="L50" s="4"/>
      <c r="M50" s="57"/>
      <c r="N50" s="66"/>
    </row>
    <row r="51" spans="3:14" s="1" customFormat="1" ht="12.75">
      <c r="C51" s="4"/>
      <c r="D51" s="4"/>
      <c r="E51" s="4"/>
      <c r="F51" s="4"/>
      <c r="G51" s="4"/>
      <c r="H51" s="4"/>
      <c r="I51" s="4"/>
      <c r="J51" s="4"/>
      <c r="K51" s="4"/>
      <c r="L51" s="4"/>
      <c r="M51" s="57"/>
      <c r="N51" s="66"/>
    </row>
    <row r="52" spans="3:14" s="1" customFormat="1" ht="12.75">
      <c r="C52" s="4"/>
      <c r="D52" s="4"/>
      <c r="E52" s="4"/>
      <c r="F52" s="4"/>
      <c r="G52" s="4"/>
      <c r="H52" s="4"/>
      <c r="I52" s="4"/>
      <c r="J52" s="4"/>
      <c r="K52" s="4"/>
      <c r="L52" s="4"/>
      <c r="M52" s="57"/>
      <c r="N52" s="66"/>
    </row>
    <row r="53" spans="3:14" s="1" customFormat="1" ht="12.75">
      <c r="C53" s="4"/>
      <c r="D53" s="4"/>
      <c r="E53" s="4"/>
      <c r="F53" s="4"/>
      <c r="G53" s="4"/>
      <c r="H53" s="4"/>
      <c r="I53" s="4"/>
      <c r="J53" s="4"/>
      <c r="K53" s="4"/>
      <c r="L53" s="4"/>
      <c r="M53" s="57"/>
      <c r="N53" s="66"/>
    </row>
    <row r="54" spans="3:14" s="1" customFormat="1" ht="12.75">
      <c r="C54" s="4"/>
      <c r="D54" s="4"/>
      <c r="E54" s="4"/>
      <c r="F54" s="4"/>
      <c r="G54" s="4"/>
      <c r="H54" s="4"/>
      <c r="I54" s="4"/>
      <c r="J54" s="4"/>
      <c r="K54" s="4"/>
      <c r="L54" s="4"/>
      <c r="M54" s="57"/>
      <c r="N54" s="66"/>
    </row>
    <row r="55" spans="3:14" s="1" customFormat="1" ht="12.75">
      <c r="C55" s="4"/>
      <c r="D55" s="4"/>
      <c r="E55" s="4"/>
      <c r="F55" s="4"/>
      <c r="G55" s="4"/>
      <c r="H55" s="4"/>
      <c r="I55" s="4"/>
      <c r="J55" s="4"/>
      <c r="K55" s="4"/>
      <c r="L55" s="4"/>
      <c r="M55" s="57"/>
      <c r="N55" s="66"/>
    </row>
    <row r="56" spans="3:14" s="1" customFormat="1" ht="12.75">
      <c r="C56" s="4"/>
      <c r="D56" s="4"/>
      <c r="E56" s="4"/>
      <c r="F56" s="4"/>
      <c r="G56" s="4"/>
      <c r="H56" s="4"/>
      <c r="I56" s="4"/>
      <c r="J56" s="4"/>
      <c r="K56" s="4"/>
      <c r="L56" s="4"/>
      <c r="M56" s="57"/>
      <c r="N56" s="66"/>
    </row>
    <row r="57" spans="3:14" s="1" customFormat="1" ht="12.75">
      <c r="C57" s="4"/>
      <c r="D57" s="4"/>
      <c r="E57" s="4"/>
      <c r="F57" s="4"/>
      <c r="G57" s="4"/>
      <c r="H57" s="4"/>
      <c r="I57" s="4"/>
      <c r="J57" s="4"/>
      <c r="K57" s="4"/>
      <c r="L57" s="4"/>
      <c r="M57" s="57"/>
      <c r="N57" s="66"/>
    </row>
    <row r="58" spans="3:14" s="1" customFormat="1" ht="12.75">
      <c r="C58" s="4"/>
      <c r="D58" s="4"/>
      <c r="E58" s="4"/>
      <c r="F58" s="4"/>
      <c r="G58" s="4"/>
      <c r="H58" s="4"/>
      <c r="I58" s="4"/>
      <c r="J58" s="4"/>
      <c r="K58" s="4"/>
      <c r="L58" s="4"/>
      <c r="M58" s="57"/>
      <c r="N58" s="66"/>
    </row>
    <row r="59" spans="3:14" s="1" customFormat="1" ht="12.75">
      <c r="C59" s="4"/>
      <c r="D59" s="4"/>
      <c r="E59" s="4"/>
      <c r="F59" s="4"/>
      <c r="G59" s="4"/>
      <c r="H59" s="4"/>
      <c r="I59" s="4"/>
      <c r="J59" s="4"/>
      <c r="K59" s="4"/>
      <c r="L59" s="4"/>
      <c r="M59" s="57"/>
      <c r="N59" s="66"/>
    </row>
    <row r="60" spans="3:14" s="1" customFormat="1" ht="12.75">
      <c r="C60" s="4"/>
      <c r="D60" s="4"/>
      <c r="E60" s="4"/>
      <c r="F60" s="4"/>
      <c r="G60" s="4"/>
      <c r="H60" s="4"/>
      <c r="I60" s="4"/>
      <c r="J60" s="4"/>
      <c r="K60" s="4"/>
      <c r="L60" s="4"/>
      <c r="M60" s="57"/>
      <c r="N60" s="66"/>
    </row>
    <row r="61" spans="3:14" s="1" customFormat="1" ht="12.75">
      <c r="C61" s="4"/>
      <c r="D61" s="4"/>
      <c r="E61" s="4"/>
      <c r="F61" s="4"/>
      <c r="G61" s="4"/>
      <c r="H61" s="4"/>
      <c r="I61" s="4"/>
      <c r="J61" s="4"/>
      <c r="K61" s="4"/>
      <c r="L61" s="4"/>
      <c r="M61" s="57"/>
      <c r="N61" s="66"/>
    </row>
    <row r="62" spans="3:14" s="1" customFormat="1" ht="12.75">
      <c r="C62" s="4"/>
      <c r="D62" s="4"/>
      <c r="E62" s="4"/>
      <c r="F62" s="4"/>
      <c r="G62" s="4"/>
      <c r="H62" s="4"/>
      <c r="I62" s="4"/>
      <c r="J62" s="4"/>
      <c r="K62" s="4"/>
      <c r="L62" s="4"/>
      <c r="M62" s="57"/>
      <c r="N62" s="66"/>
    </row>
    <row r="63" spans="3:14" s="1" customFormat="1" ht="12.75">
      <c r="C63" s="4"/>
      <c r="D63" s="4"/>
      <c r="E63" s="4"/>
      <c r="F63" s="4"/>
      <c r="G63" s="4"/>
      <c r="H63" s="4"/>
      <c r="I63" s="4"/>
      <c r="J63" s="4"/>
      <c r="K63" s="4"/>
      <c r="L63" s="4"/>
      <c r="M63" s="57"/>
      <c r="N63" s="66"/>
    </row>
    <row r="64" spans="3:14" s="1" customFormat="1" ht="12.75">
      <c r="C64" s="4"/>
      <c r="D64" s="4"/>
      <c r="E64" s="4"/>
      <c r="F64" s="4"/>
      <c r="G64" s="4"/>
      <c r="H64" s="4"/>
      <c r="I64" s="4"/>
      <c r="J64" s="4"/>
      <c r="K64" s="4"/>
      <c r="L64" s="4"/>
      <c r="M64" s="57"/>
      <c r="N64" s="66"/>
    </row>
    <row r="65" spans="3:14" s="1" customFormat="1" ht="12.75">
      <c r="C65" s="4"/>
      <c r="D65" s="4"/>
      <c r="E65" s="4"/>
      <c r="F65" s="4"/>
      <c r="G65" s="4"/>
      <c r="H65" s="4"/>
      <c r="I65" s="4"/>
      <c r="J65" s="4"/>
      <c r="K65" s="4"/>
      <c r="L65" s="4"/>
      <c r="M65" s="57"/>
      <c r="N65" s="66"/>
    </row>
    <row r="66" spans="3:14" s="1" customFormat="1" ht="12.75">
      <c r="C66" s="4"/>
      <c r="D66" s="4"/>
      <c r="E66" s="4"/>
      <c r="F66" s="4"/>
      <c r="G66" s="4"/>
      <c r="H66" s="4"/>
      <c r="I66" s="4"/>
      <c r="J66" s="4"/>
      <c r="K66" s="4"/>
      <c r="L66" s="4"/>
      <c r="M66" s="57"/>
      <c r="N66" s="66"/>
    </row>
    <row r="67" spans="3:14" s="1" customFormat="1" ht="12.75">
      <c r="C67" s="4"/>
      <c r="D67" s="4"/>
      <c r="E67" s="4"/>
      <c r="F67" s="4"/>
      <c r="G67" s="4"/>
      <c r="H67" s="4"/>
      <c r="I67" s="4"/>
      <c r="J67" s="4"/>
      <c r="K67" s="4"/>
      <c r="L67" s="4"/>
      <c r="M67" s="57"/>
      <c r="N67" s="66"/>
    </row>
    <row r="68" spans="3:14" s="1" customFormat="1" ht="12.75">
      <c r="C68" s="4"/>
      <c r="D68" s="4"/>
      <c r="E68" s="4"/>
      <c r="F68" s="4"/>
      <c r="G68" s="4"/>
      <c r="H68" s="4"/>
      <c r="I68" s="4"/>
      <c r="J68" s="4"/>
      <c r="K68" s="4"/>
      <c r="L68" s="4"/>
      <c r="M68" s="57"/>
      <c r="N68" s="66"/>
    </row>
    <row r="69" spans="3:14" s="1" customFormat="1" ht="12.75">
      <c r="C69" s="4"/>
      <c r="D69" s="4"/>
      <c r="E69" s="4"/>
      <c r="F69" s="4"/>
      <c r="G69" s="4"/>
      <c r="H69" s="4"/>
      <c r="I69" s="4"/>
      <c r="J69" s="4"/>
      <c r="K69" s="4"/>
      <c r="L69" s="4"/>
      <c r="M69" s="57"/>
      <c r="N69" s="66"/>
    </row>
    <row r="70" spans="3:14" s="1" customFormat="1" ht="12.75">
      <c r="C70" s="4"/>
      <c r="D70" s="4"/>
      <c r="E70" s="4"/>
      <c r="F70" s="4"/>
      <c r="G70" s="4"/>
      <c r="H70" s="4"/>
      <c r="I70" s="4"/>
      <c r="J70" s="4"/>
      <c r="K70" s="4"/>
      <c r="L70" s="4"/>
      <c r="M70" s="57"/>
      <c r="N70" s="66"/>
    </row>
    <row r="71" spans="3:14" s="1" customFormat="1" ht="12.75">
      <c r="C71" s="4"/>
      <c r="D71" s="4"/>
      <c r="E71" s="4"/>
      <c r="F71" s="4"/>
      <c r="G71" s="4"/>
      <c r="H71" s="4"/>
      <c r="I71" s="4"/>
      <c r="J71" s="4"/>
      <c r="K71" s="4"/>
      <c r="L71" s="4"/>
      <c r="M71" s="57"/>
      <c r="N71" s="66"/>
    </row>
    <row r="72" spans="3:14" s="1" customFormat="1" ht="12.75">
      <c r="C72" s="4"/>
      <c r="D72" s="4"/>
      <c r="E72" s="4"/>
      <c r="F72" s="4"/>
      <c r="G72" s="4"/>
      <c r="H72" s="4"/>
      <c r="I72" s="4"/>
      <c r="J72" s="4"/>
      <c r="K72" s="4"/>
      <c r="L72" s="4"/>
      <c r="M72" s="57"/>
      <c r="N72" s="66"/>
    </row>
    <row r="73" spans="3:14" s="1" customFormat="1" ht="12.75">
      <c r="C73" s="4"/>
      <c r="D73" s="4"/>
      <c r="E73" s="4"/>
      <c r="F73" s="4"/>
      <c r="G73" s="4"/>
      <c r="H73" s="4"/>
      <c r="I73" s="4"/>
      <c r="J73" s="4"/>
      <c r="K73" s="4"/>
      <c r="L73" s="4"/>
      <c r="M73" s="57"/>
      <c r="N73" s="66"/>
    </row>
    <row r="74" spans="3:14" s="1" customFormat="1" ht="12.75">
      <c r="C74" s="4"/>
      <c r="D74" s="4"/>
      <c r="E74" s="4"/>
      <c r="F74" s="4"/>
      <c r="G74" s="4"/>
      <c r="H74" s="4"/>
      <c r="I74" s="4"/>
      <c r="J74" s="4"/>
      <c r="K74" s="4"/>
      <c r="L74" s="4"/>
      <c r="M74" s="57"/>
      <c r="N74" s="66"/>
    </row>
    <row r="75" spans="3:14" s="1" customFormat="1" ht="12.75">
      <c r="C75" s="4"/>
      <c r="D75" s="4"/>
      <c r="E75" s="4"/>
      <c r="F75" s="4"/>
      <c r="G75" s="4"/>
      <c r="H75" s="4"/>
      <c r="I75" s="4"/>
      <c r="J75" s="4"/>
      <c r="K75" s="4"/>
      <c r="L75" s="4"/>
      <c r="M75" s="57"/>
      <c r="N75" s="66"/>
    </row>
    <row r="76" spans="3:14" s="1" customFormat="1" ht="12.75">
      <c r="C76" s="4"/>
      <c r="D76" s="4"/>
      <c r="E76" s="4"/>
      <c r="F76" s="4"/>
      <c r="G76" s="4"/>
      <c r="H76" s="4"/>
      <c r="I76" s="4"/>
      <c r="J76" s="4"/>
      <c r="K76" s="4"/>
      <c r="L76" s="4"/>
      <c r="M76" s="57"/>
      <c r="N76" s="66"/>
    </row>
    <row r="77" spans="3:14" s="1" customFormat="1" ht="12.75">
      <c r="C77" s="4"/>
      <c r="D77" s="4"/>
      <c r="E77" s="4"/>
      <c r="F77" s="4"/>
      <c r="G77" s="4"/>
      <c r="H77" s="4"/>
      <c r="I77" s="4"/>
      <c r="J77" s="4"/>
      <c r="K77" s="4"/>
      <c r="L77" s="4"/>
      <c r="M77" s="57"/>
      <c r="N77" s="66"/>
    </row>
    <row r="78" spans="3:14" s="1" customFormat="1" ht="12.75">
      <c r="C78" s="4"/>
      <c r="D78" s="4"/>
      <c r="E78" s="4"/>
      <c r="F78" s="4"/>
      <c r="G78" s="4"/>
      <c r="H78" s="4"/>
      <c r="I78" s="4"/>
      <c r="J78" s="4"/>
      <c r="K78" s="4"/>
      <c r="L78" s="4"/>
      <c r="M78" s="57"/>
      <c r="N78" s="66"/>
    </row>
    <row r="79" spans="3:14" s="1" customFormat="1" ht="12.75">
      <c r="C79" s="4"/>
      <c r="D79" s="4"/>
      <c r="E79" s="4"/>
      <c r="F79" s="4"/>
      <c r="G79" s="4"/>
      <c r="H79" s="4"/>
      <c r="I79" s="4"/>
      <c r="J79" s="4"/>
      <c r="K79" s="4"/>
      <c r="L79" s="4"/>
      <c r="M79" s="57"/>
      <c r="N79" s="66"/>
    </row>
    <row r="80" spans="3:14" s="1" customFormat="1" ht="12.75">
      <c r="C80" s="4"/>
      <c r="D80" s="4"/>
      <c r="E80" s="4"/>
      <c r="F80" s="4"/>
      <c r="G80" s="4"/>
      <c r="H80" s="4"/>
      <c r="I80" s="4"/>
      <c r="J80" s="4"/>
      <c r="K80" s="4"/>
      <c r="L80" s="4"/>
      <c r="M80" s="57"/>
      <c r="N80" s="66"/>
    </row>
    <row r="81" spans="3:14" s="1" customFormat="1" ht="12.75">
      <c r="C81" s="4"/>
      <c r="D81" s="4"/>
      <c r="E81" s="4"/>
      <c r="F81" s="4"/>
      <c r="G81" s="4"/>
      <c r="H81" s="4"/>
      <c r="I81" s="4"/>
      <c r="J81" s="4"/>
      <c r="K81" s="4"/>
      <c r="L81" s="4"/>
      <c r="M81" s="57"/>
      <c r="N81" s="66"/>
    </row>
    <row r="82" spans="3:14" s="1" customFormat="1" ht="12.75">
      <c r="C82" s="4"/>
      <c r="D82" s="4"/>
      <c r="E82" s="4"/>
      <c r="F82" s="4"/>
      <c r="G82" s="4"/>
      <c r="H82" s="4"/>
      <c r="I82" s="4"/>
      <c r="J82" s="4"/>
      <c r="K82" s="4"/>
      <c r="L82" s="4"/>
      <c r="M82" s="57"/>
      <c r="N82" s="66"/>
    </row>
    <row r="83" spans="3:14" s="1" customFormat="1" ht="12.75">
      <c r="C83" s="4"/>
      <c r="D83" s="4"/>
      <c r="E83" s="4"/>
      <c r="F83" s="4"/>
      <c r="G83" s="4"/>
      <c r="H83" s="4"/>
      <c r="I83" s="4"/>
      <c r="J83" s="4"/>
      <c r="K83" s="4"/>
      <c r="L83" s="4"/>
      <c r="M83" s="57"/>
      <c r="N83" s="66"/>
    </row>
    <row r="84" spans="3:14" s="1" customFormat="1" ht="12.75">
      <c r="C84" s="4"/>
      <c r="D84" s="4"/>
      <c r="E84" s="4"/>
      <c r="F84" s="4"/>
      <c r="G84" s="4"/>
      <c r="H84" s="4"/>
      <c r="I84" s="4"/>
      <c r="J84" s="4"/>
      <c r="K84" s="4"/>
      <c r="L84" s="4"/>
      <c r="M84" s="57"/>
      <c r="N84" s="66"/>
    </row>
    <row r="85" spans="3:14" s="1" customFormat="1" ht="12.75">
      <c r="C85" s="4"/>
      <c r="D85" s="4"/>
      <c r="E85" s="4"/>
      <c r="F85" s="4"/>
      <c r="G85" s="4"/>
      <c r="H85" s="4"/>
      <c r="I85" s="4"/>
      <c r="J85" s="4"/>
      <c r="K85" s="4"/>
      <c r="L85" s="4"/>
      <c r="M85" s="57"/>
      <c r="N85" s="66"/>
    </row>
    <row r="86" spans="3:14" s="1" customFormat="1" ht="12.75">
      <c r="C86" s="4"/>
      <c r="D86" s="4"/>
      <c r="E86" s="4"/>
      <c r="F86" s="4"/>
      <c r="G86" s="4"/>
      <c r="H86" s="4"/>
      <c r="I86" s="4"/>
      <c r="J86" s="4"/>
      <c r="K86" s="4"/>
      <c r="L86" s="4"/>
      <c r="M86" s="57"/>
      <c r="N86" s="66"/>
    </row>
    <row r="87" spans="3:14" s="1" customFormat="1" ht="12.75">
      <c r="C87" s="4"/>
      <c r="D87" s="4"/>
      <c r="E87" s="4"/>
      <c r="F87" s="4"/>
      <c r="G87" s="4"/>
      <c r="H87" s="4"/>
      <c r="I87" s="4"/>
      <c r="J87" s="4"/>
      <c r="K87" s="4"/>
      <c r="L87" s="4"/>
      <c r="M87" s="57"/>
      <c r="N87" s="66"/>
    </row>
    <row r="88" spans="3:14" s="1" customFormat="1" ht="12.75">
      <c r="C88" s="4"/>
      <c r="D88" s="4"/>
      <c r="E88" s="4"/>
      <c r="F88" s="4"/>
      <c r="G88" s="4"/>
      <c r="H88" s="4"/>
      <c r="I88" s="4"/>
      <c r="J88" s="4"/>
      <c r="K88" s="4"/>
      <c r="L88" s="4"/>
      <c r="M88" s="57"/>
      <c r="N88" s="66"/>
    </row>
    <row r="89" spans="3:14" s="1" customFormat="1" ht="12.75">
      <c r="C89" s="4"/>
      <c r="D89" s="4"/>
      <c r="E89" s="4"/>
      <c r="F89" s="4"/>
      <c r="G89" s="4"/>
      <c r="H89" s="4"/>
      <c r="I89" s="4"/>
      <c r="J89" s="4"/>
      <c r="K89" s="4"/>
      <c r="L89" s="4"/>
      <c r="M89" s="57"/>
      <c r="N89" s="66"/>
    </row>
    <row r="90" spans="3:14" s="1" customFormat="1" ht="12.75">
      <c r="C90" s="4"/>
      <c r="D90" s="4"/>
      <c r="E90" s="4"/>
      <c r="F90" s="4"/>
      <c r="G90" s="4"/>
      <c r="H90" s="4"/>
      <c r="I90" s="4"/>
      <c r="J90" s="4"/>
      <c r="K90" s="4"/>
      <c r="L90" s="4"/>
      <c r="M90" s="57"/>
      <c r="N90" s="66"/>
    </row>
    <row r="91" spans="3:14" s="1" customFormat="1" ht="12.75">
      <c r="C91" s="4"/>
      <c r="D91" s="4"/>
      <c r="E91" s="4"/>
      <c r="F91" s="4"/>
      <c r="G91" s="4"/>
      <c r="H91" s="4"/>
      <c r="I91" s="4"/>
      <c r="J91" s="4"/>
      <c r="K91" s="4"/>
      <c r="L91" s="4"/>
      <c r="M91" s="57"/>
      <c r="N91" s="66"/>
    </row>
    <row r="92" spans="3:14" s="1" customFormat="1" ht="12.75">
      <c r="C92" s="4"/>
      <c r="D92" s="4"/>
      <c r="E92" s="4"/>
      <c r="F92" s="4"/>
      <c r="G92" s="4"/>
      <c r="H92" s="4"/>
      <c r="I92" s="4"/>
      <c r="J92" s="4"/>
      <c r="K92" s="4"/>
      <c r="L92" s="4"/>
      <c r="M92" s="57"/>
      <c r="N92" s="66"/>
    </row>
    <row r="93" spans="3:14" s="1" customFormat="1" ht="12.75">
      <c r="C93" s="4"/>
      <c r="D93" s="4"/>
      <c r="E93" s="4"/>
      <c r="F93" s="4"/>
      <c r="G93" s="4"/>
      <c r="H93" s="4"/>
      <c r="I93" s="4"/>
      <c r="J93" s="4"/>
      <c r="K93" s="4"/>
      <c r="L93" s="4"/>
      <c r="M93" s="57"/>
      <c r="N93" s="66"/>
    </row>
    <row r="94" spans="3:14" s="1" customFormat="1" ht="12.75">
      <c r="C94" s="4"/>
      <c r="D94" s="4"/>
      <c r="E94" s="4"/>
      <c r="F94" s="4"/>
      <c r="G94" s="4"/>
      <c r="H94" s="4"/>
      <c r="I94" s="4"/>
      <c r="J94" s="4"/>
      <c r="K94" s="4"/>
      <c r="L94" s="4"/>
      <c r="M94" s="57"/>
      <c r="N94" s="66"/>
    </row>
    <row r="95" spans="3:14" s="1" customFormat="1" ht="12.75">
      <c r="C95" s="4"/>
      <c r="D95" s="4"/>
      <c r="E95" s="4"/>
      <c r="F95" s="4"/>
      <c r="G95" s="4"/>
      <c r="H95" s="4"/>
      <c r="I95" s="4"/>
      <c r="J95" s="4"/>
      <c r="K95" s="4"/>
      <c r="L95" s="4"/>
      <c r="M95" s="57"/>
      <c r="N95" s="66"/>
    </row>
    <row r="96" spans="3:14" s="1" customFormat="1" ht="12.75">
      <c r="C96" s="4"/>
      <c r="D96" s="4"/>
      <c r="E96" s="4"/>
      <c r="F96" s="4"/>
      <c r="G96" s="4"/>
      <c r="H96" s="4"/>
      <c r="I96" s="4"/>
      <c r="J96" s="4"/>
      <c r="K96" s="4"/>
      <c r="L96" s="4"/>
      <c r="M96" s="57"/>
      <c r="N96" s="66"/>
    </row>
    <row r="97" spans="3:14" s="1" customFormat="1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57"/>
      <c r="N97" s="66"/>
    </row>
    <row r="98" spans="3:14" s="1" customFormat="1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57"/>
      <c r="N98" s="66"/>
    </row>
    <row r="99" spans="3:14" s="1" customFormat="1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57"/>
      <c r="N99" s="66"/>
    </row>
    <row r="100" spans="3:14" s="1" customFormat="1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7"/>
      <c r="N100" s="66"/>
    </row>
    <row r="101" spans="3:14" s="1" customFormat="1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57"/>
      <c r="N101" s="66"/>
    </row>
    <row r="102" spans="3:14" s="1" customFormat="1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57"/>
      <c r="N102" s="66"/>
    </row>
    <row r="103" spans="3:14" s="1" customFormat="1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57"/>
      <c r="N103" s="66"/>
    </row>
    <row r="104" spans="3:14" s="1" customFormat="1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57"/>
      <c r="N104" s="66"/>
    </row>
    <row r="105" spans="3:14" s="1" customFormat="1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57"/>
      <c r="N105" s="66"/>
    </row>
    <row r="106" spans="3:14" s="1" customFormat="1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57"/>
      <c r="N106" s="66"/>
    </row>
    <row r="107" spans="3:14" s="1" customFormat="1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57"/>
      <c r="N107" s="66"/>
    </row>
    <row r="108" spans="3:14" s="1" customFormat="1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57"/>
      <c r="N108" s="66"/>
    </row>
    <row r="109" spans="3:14" s="1" customFormat="1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57"/>
      <c r="N109" s="66"/>
    </row>
    <row r="110" spans="3:14" s="1" customFormat="1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57"/>
      <c r="N110" s="66"/>
    </row>
    <row r="111" spans="3:14" s="1" customFormat="1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57"/>
      <c r="N111" s="66"/>
    </row>
    <row r="112" spans="3:14" s="1" customFormat="1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57"/>
      <c r="N112" s="66"/>
    </row>
    <row r="113" spans="3:14" s="1" customFormat="1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57"/>
      <c r="N113" s="66"/>
    </row>
    <row r="114" spans="3:14" s="1" customFormat="1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57"/>
      <c r="N114" s="66"/>
    </row>
    <row r="115" spans="3:14" s="1" customFormat="1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57"/>
      <c r="N115" s="66"/>
    </row>
    <row r="116" spans="3:14" s="1" customFormat="1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57"/>
      <c r="N116" s="66"/>
    </row>
    <row r="117" spans="3:14" s="1" customFormat="1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57"/>
      <c r="N117" s="66"/>
    </row>
    <row r="118" spans="3:14" s="1" customFormat="1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57"/>
      <c r="N118" s="66"/>
    </row>
    <row r="119" spans="3:14" s="1" customFormat="1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57"/>
      <c r="N119" s="66"/>
    </row>
    <row r="120" spans="3:14" s="1" customFormat="1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57"/>
      <c r="N120" s="66"/>
    </row>
    <row r="121" spans="3:14" s="1" customFormat="1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57"/>
      <c r="N121" s="66"/>
    </row>
    <row r="122" spans="3:14" s="1" customFormat="1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57"/>
      <c r="N122" s="66"/>
    </row>
    <row r="123" spans="3:14" s="1" customFormat="1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57"/>
      <c r="N123" s="66"/>
    </row>
    <row r="124" spans="3:14" s="1" customFormat="1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57"/>
      <c r="N124" s="66"/>
    </row>
    <row r="125" spans="3:14" s="1" customFormat="1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57"/>
      <c r="N125" s="66"/>
    </row>
    <row r="126" spans="3:14" s="1" customFormat="1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57"/>
      <c r="N126" s="66"/>
    </row>
    <row r="127" spans="3:14" s="1" customFormat="1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57"/>
      <c r="N127" s="66"/>
    </row>
    <row r="128" spans="3:14" s="1" customFormat="1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57"/>
      <c r="N128" s="66"/>
    </row>
    <row r="129" spans="3:14" s="1" customFormat="1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57"/>
      <c r="N129" s="66"/>
    </row>
    <row r="130" spans="3:14" s="1" customFormat="1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57"/>
      <c r="N130" s="66"/>
    </row>
    <row r="131" spans="3:14" s="1" customFormat="1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57"/>
      <c r="N131" s="66"/>
    </row>
    <row r="132" spans="3:14" s="1" customFormat="1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57"/>
      <c r="N132" s="66"/>
    </row>
    <row r="133" spans="3:14" s="1" customFormat="1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57"/>
      <c r="N133" s="66"/>
    </row>
    <row r="134" spans="3:14" s="1" customFormat="1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57"/>
      <c r="N134" s="66"/>
    </row>
    <row r="135" spans="3:14" s="1" customFormat="1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57"/>
      <c r="N135" s="66"/>
    </row>
    <row r="136" spans="3:14" s="1" customFormat="1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57"/>
      <c r="N136" s="66"/>
    </row>
    <row r="137" spans="3:14" s="1" customFormat="1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57"/>
      <c r="N137" s="66"/>
    </row>
    <row r="138" spans="3:14" s="1" customFormat="1" ht="12.7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57"/>
      <c r="N138" s="66"/>
    </row>
    <row r="139" spans="3:14" s="1" customFormat="1" ht="12.7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57"/>
      <c r="N139" s="66"/>
    </row>
    <row r="140" spans="3:14" s="1" customFormat="1" ht="12.7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57"/>
      <c r="N140" s="66"/>
    </row>
    <row r="141" spans="3:14" s="1" customFormat="1" ht="12.7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57"/>
      <c r="N141" s="66"/>
    </row>
    <row r="142" spans="3:14" s="1" customFormat="1" ht="12.7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57"/>
      <c r="N142" s="66"/>
    </row>
    <row r="143" spans="3:14" s="1" customFormat="1" ht="12.7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57"/>
      <c r="N143" s="66"/>
    </row>
    <row r="144" spans="3:14" s="1" customFormat="1" ht="12.7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57"/>
      <c r="N144" s="66"/>
    </row>
    <row r="145" spans="3:14" s="1" customFormat="1" ht="12.7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57"/>
      <c r="N145" s="66"/>
    </row>
  </sheetData>
  <sheetProtection/>
  <mergeCells count="17">
    <mergeCell ref="J38:K38"/>
    <mergeCell ref="J41:K41"/>
    <mergeCell ref="F41:G41"/>
    <mergeCell ref="H41:I41"/>
    <mergeCell ref="F40:G40"/>
    <mergeCell ref="H40:I40"/>
    <mergeCell ref="J40:K40"/>
    <mergeCell ref="A1:M1"/>
    <mergeCell ref="F39:G39"/>
    <mergeCell ref="H39:I39"/>
    <mergeCell ref="J39:K39"/>
    <mergeCell ref="C4:D4"/>
    <mergeCell ref="F37:G37"/>
    <mergeCell ref="H37:I37"/>
    <mergeCell ref="J37:K37"/>
    <mergeCell ref="F38:G38"/>
    <mergeCell ref="H38:I38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drobecekjara</cp:lastModifiedBy>
  <cp:lastPrinted>2011-01-16T13:29:36Z</cp:lastPrinted>
  <dcterms:created xsi:type="dcterms:W3CDTF">1997-01-24T11:07:25Z</dcterms:created>
  <dcterms:modified xsi:type="dcterms:W3CDTF">2011-03-27T10:48:43Z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